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Acer\Desktop\Amol khadse\CBO\all CBO Updat\Jay ananat\"/>
    </mc:Choice>
  </mc:AlternateContent>
  <xr:revisionPtr revIDLastSave="0" documentId="8_{06EC5FCD-E175-4800-8F20-291EE20A4FF7}" xr6:coauthVersionLast="47" xr6:coauthVersionMax="47" xr10:uidLastSave="{00000000-0000-0000-0000-000000000000}"/>
  <bookViews>
    <workbookView xWindow="-120" yWindow="-120" windowWidth="24240" windowHeight="13140" xr2:uid="{00000000-000D-0000-FFFF-FFFF00000000}"/>
  </bookViews>
  <sheets>
    <sheet name="Note for users" sheetId="1" r:id="rId1"/>
    <sheet name="1.Project Cost and MOF" sheetId="2" r:id="rId2"/>
    <sheet name="2.Capex Details" sheetId="3" r:id="rId3"/>
    <sheet name="3.Other Exp &amp; Taxes" sheetId="4" r:id="rId4"/>
    <sheet name="Sheet1" sheetId="5" state="hidden" r:id="rId5"/>
    <sheet name="4.TL repayment sch" sheetId="6" r:id="rId6"/>
    <sheet name="5.Closing Stock &amp; W Capital" sheetId="7" r:id="rId7"/>
    <sheet name="6.Cons Profit &amp; Loss" sheetId="8" r:id="rId8"/>
    <sheet name="7.Balance Sheet" sheetId="9" r:id="rId9"/>
    <sheet name="8.Cash Flow " sheetId="10" r:id="rId10"/>
    <sheet name="9.1 Financial indiacators" sheetId="11" r:id="rId11"/>
    <sheet name="10.Grain Production details" sheetId="12" r:id="rId12"/>
    <sheet name="11.F&amp;V Crop Production details" sheetId="13" state="hidden" r:id="rId13"/>
    <sheet name="12.Facility 1 - Flour Mill" sheetId="14" r:id="rId14"/>
    <sheet name="13.Facility 2 Cleaning &amp; Gradin" sheetId="15" r:id="rId15"/>
    <sheet name="14. Facility 3 Warehouse" sheetId="16" r:id="rId16"/>
    <sheet name="15. Facility 4 Custom Hiring" sheetId="17" state="hidden" r:id="rId17"/>
    <sheet name="16.Facility 5 Agri Input" sheetId="18" state="hidden" r:id="rId18"/>
    <sheet name="17.Facility 6 Roasted Channa " sheetId="19" state="hidden" r:id="rId19"/>
    <sheet name="VGF" sheetId="20" state="hidden" r:id="rId20"/>
    <sheet name="Sheet2" sheetId="21" state="hidden" r:id="rId21"/>
    <sheet name="Benefit to farmer" sheetId="22" state="hidden" r:id="rId22"/>
  </sheets>
  <externalReferences>
    <externalReference r:id="rId23"/>
    <externalReference r:id="rId24"/>
  </externalReferences>
  <definedNames>
    <definedName name="_Fill">#REF!</definedName>
    <definedName name="A">#REF!</definedName>
    <definedName name="Admin">#REF!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#REF!</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9" i="14" l="1"/>
  <c r="B42" i="12"/>
  <c r="H43" i="12"/>
  <c r="F14" i="12"/>
  <c r="S12" i="12"/>
  <c r="B52" i="12"/>
  <c r="B47" i="12"/>
  <c r="C24" i="10"/>
  <c r="B34" i="9"/>
  <c r="D66" i="4"/>
  <c r="D40" i="4"/>
  <c r="H40" i="4"/>
  <c r="D41" i="4"/>
  <c r="C41" i="4"/>
  <c r="E13" i="4"/>
  <c r="D5" i="2"/>
  <c r="A32" i="22"/>
  <c r="A31" i="22"/>
  <c r="D29" i="22"/>
  <c r="A29" i="22"/>
  <c r="D28" i="22"/>
  <c r="A28" i="22"/>
  <c r="D27" i="22"/>
  <c r="C27" i="22"/>
  <c r="C30" i="22" s="1"/>
  <c r="B27" i="22"/>
  <c r="B30" i="22" s="1"/>
  <c r="D30" i="22" s="1"/>
  <c r="A27" i="22"/>
  <c r="D25" i="22"/>
  <c r="C25" i="22"/>
  <c r="B25" i="22"/>
  <c r="A22" i="22"/>
  <c r="C21" i="22"/>
  <c r="D21" i="22" s="1"/>
  <c r="B21" i="22"/>
  <c r="A21" i="22"/>
  <c r="B18" i="22"/>
  <c r="B15" i="22"/>
  <c r="B10" i="22"/>
  <c r="D8" i="22"/>
  <c r="C8" i="22"/>
  <c r="B8" i="22"/>
  <c r="B22" i="22" s="1"/>
  <c r="D7" i="22"/>
  <c r="C7" i="22"/>
  <c r="C15" i="22" s="1"/>
  <c r="B7" i="22"/>
  <c r="B14" i="22" s="1"/>
  <c r="B16" i="22" s="1"/>
  <c r="D3" i="22"/>
  <c r="K8" i="21"/>
  <c r="J7" i="21"/>
  <c r="K7" i="21" s="1"/>
  <c r="A259" i="20"/>
  <c r="A258" i="20"/>
  <c r="A257" i="20"/>
  <c r="A256" i="20"/>
  <c r="B226" i="20"/>
  <c r="C226" i="20" s="1"/>
  <c r="D226" i="20" s="1"/>
  <c r="E226" i="20" s="1"/>
  <c r="F226" i="20" s="1"/>
  <c r="G226" i="20" s="1"/>
  <c r="H226" i="20" s="1"/>
  <c r="A198" i="20"/>
  <c r="A197" i="20"/>
  <c r="A196" i="20"/>
  <c r="A195" i="20"/>
  <c r="A194" i="20"/>
  <c r="A193" i="20"/>
  <c r="B176" i="20"/>
  <c r="C183" i="20" s="1"/>
  <c r="B70" i="20"/>
  <c r="A33" i="20"/>
  <c r="A31" i="20"/>
  <c r="A30" i="20"/>
  <c r="A28" i="20"/>
  <c r="A23" i="20"/>
  <c r="A22" i="20"/>
  <c r="A32" i="20" s="1"/>
  <c r="A21" i="20"/>
  <c r="A20" i="20"/>
  <c r="A19" i="20"/>
  <c r="A29" i="20" s="1"/>
  <c r="A18" i="20"/>
  <c r="E181" i="19"/>
  <c r="D181" i="19"/>
  <c r="D180" i="19"/>
  <c r="D166" i="19"/>
  <c r="F165" i="19"/>
  <c r="D165" i="19"/>
  <c r="A156" i="19"/>
  <c r="C154" i="19"/>
  <c r="F149" i="19"/>
  <c r="E149" i="19"/>
  <c r="E180" i="19" s="1"/>
  <c r="E185" i="19" s="1"/>
  <c r="C33" i="20" s="1"/>
  <c r="A44" i="19"/>
  <c r="D41" i="19"/>
  <c r="C41" i="19"/>
  <c r="B41" i="19"/>
  <c r="G40" i="19"/>
  <c r="F40" i="19"/>
  <c r="F41" i="19" s="1"/>
  <c r="C40" i="19"/>
  <c r="D40" i="19" s="1"/>
  <c r="E40" i="19" s="1"/>
  <c r="E41" i="19" s="1"/>
  <c r="H33" i="19"/>
  <c r="H32" i="19"/>
  <c r="H31" i="19"/>
  <c r="B13" i="19"/>
  <c r="D269" i="18"/>
  <c r="D268" i="18"/>
  <c r="D267" i="18"/>
  <c r="D266" i="18"/>
  <c r="D274" i="18" s="1"/>
  <c r="B32" i="20" s="1"/>
  <c r="A252" i="18"/>
  <c r="A251" i="18"/>
  <c r="A250" i="18"/>
  <c r="A248" i="18"/>
  <c r="A247" i="18"/>
  <c r="A246" i="18"/>
  <c r="A245" i="18"/>
  <c r="D244" i="18"/>
  <c r="A244" i="18"/>
  <c r="D215" i="18"/>
  <c r="D206" i="18"/>
  <c r="A195" i="18"/>
  <c r="C182" i="18"/>
  <c r="A179" i="18"/>
  <c r="E152" i="18"/>
  <c r="D152" i="18"/>
  <c r="A138" i="18"/>
  <c r="A206" i="18" s="1"/>
  <c r="A129" i="18"/>
  <c r="F124" i="18"/>
  <c r="E124" i="18"/>
  <c r="H84" i="18"/>
  <c r="G84" i="18"/>
  <c r="F84" i="18"/>
  <c r="A84" i="18"/>
  <c r="A70" i="18"/>
  <c r="A61" i="18"/>
  <c r="A32" i="18"/>
  <c r="I31" i="18"/>
  <c r="I84" i="18" s="1"/>
  <c r="H31" i="18"/>
  <c r="G31" i="18"/>
  <c r="F31" i="18"/>
  <c r="E31" i="18"/>
  <c r="E84" i="18" s="1"/>
  <c r="D31" i="18"/>
  <c r="D84" i="18" s="1"/>
  <c r="E220" i="18" s="1"/>
  <c r="C31" i="18"/>
  <c r="C84" i="18" s="1"/>
  <c r="D220" i="18" s="1"/>
  <c r="A31" i="18"/>
  <c r="A152" i="18" s="1"/>
  <c r="A220" i="18" s="1"/>
  <c r="A26" i="18"/>
  <c r="E52" i="17"/>
  <c r="B31" i="20" s="1"/>
  <c r="E50" i="17"/>
  <c r="D36" i="17"/>
  <c r="C36" i="17"/>
  <c r="A36" i="17"/>
  <c r="D35" i="17"/>
  <c r="D34" i="17"/>
  <c r="E33" i="17"/>
  <c r="D33" i="17"/>
  <c r="I32" i="17"/>
  <c r="G32" i="17"/>
  <c r="D32" i="17"/>
  <c r="D31" i="17"/>
  <c r="A31" i="17"/>
  <c r="D30" i="17"/>
  <c r="A30" i="17"/>
  <c r="D29" i="17"/>
  <c r="A29" i="17"/>
  <c r="F28" i="17"/>
  <c r="E28" i="17"/>
  <c r="D28" i="17"/>
  <c r="A28" i="17"/>
  <c r="D27" i="17"/>
  <c r="A27" i="17"/>
  <c r="I22" i="17"/>
  <c r="H22" i="17"/>
  <c r="H50" i="17" s="1"/>
  <c r="H52" i="17" s="1"/>
  <c r="E31" i="20" s="1"/>
  <c r="G22" i="17"/>
  <c r="G50" i="17" s="1"/>
  <c r="G52" i="17" s="1"/>
  <c r="D31" i="20" s="1"/>
  <c r="F22" i="17"/>
  <c r="F50" i="17" s="1"/>
  <c r="F52" i="17" s="1"/>
  <c r="C31" i="20" s="1"/>
  <c r="M16" i="17"/>
  <c r="F16" i="17"/>
  <c r="H16" i="17" s="1"/>
  <c r="B16" i="17"/>
  <c r="A35" i="17" s="1"/>
  <c r="M15" i="17"/>
  <c r="F15" i="17"/>
  <c r="H15" i="17" s="1"/>
  <c r="B15" i="17"/>
  <c r="A34" i="17" s="1"/>
  <c r="M14" i="17"/>
  <c r="J14" i="17"/>
  <c r="H14" i="17"/>
  <c r="C33" i="17" s="1"/>
  <c r="F14" i="17"/>
  <c r="B14" i="17"/>
  <c r="A33" i="17" s="1"/>
  <c r="M13" i="17"/>
  <c r="J13" i="17"/>
  <c r="H13" i="17"/>
  <c r="C32" i="17" s="1"/>
  <c r="F13" i="17"/>
  <c r="B13" i="17"/>
  <c r="A32" i="17" s="1"/>
  <c r="M12" i="17"/>
  <c r="J12" i="17"/>
  <c r="H12" i="17"/>
  <c r="C31" i="17" s="1"/>
  <c r="F12" i="17"/>
  <c r="B12" i="17"/>
  <c r="M11" i="17"/>
  <c r="F11" i="17"/>
  <c r="H11" i="17" s="1"/>
  <c r="M10" i="17"/>
  <c r="F10" i="17"/>
  <c r="H10" i="17" s="1"/>
  <c r="J10" i="17" s="1"/>
  <c r="M9" i="17"/>
  <c r="J9" i="17"/>
  <c r="H9" i="17"/>
  <c r="C28" i="17" s="1"/>
  <c r="F9" i="17"/>
  <c r="M8" i="17"/>
  <c r="F8" i="17"/>
  <c r="H8" i="17" s="1"/>
  <c r="J8" i="17" s="1"/>
  <c r="E37" i="16"/>
  <c r="E43" i="16" s="1"/>
  <c r="C30" i="20" s="1"/>
  <c r="D37" i="16"/>
  <c r="D43" i="16" s="1"/>
  <c r="B30" i="20" s="1"/>
  <c r="E30" i="16"/>
  <c r="D30" i="16"/>
  <c r="E29" i="16"/>
  <c r="D29" i="16"/>
  <c r="E28" i="16"/>
  <c r="D28" i="16"/>
  <c r="F27" i="16"/>
  <c r="E27" i="16"/>
  <c r="D27" i="16"/>
  <c r="D34" i="16" s="1"/>
  <c r="D21" i="16"/>
  <c r="D23" i="16" s="1"/>
  <c r="E17" i="16"/>
  <c r="F17" i="16" s="1"/>
  <c r="F30" i="16" s="1"/>
  <c r="D10" i="16"/>
  <c r="F21" i="16" s="1"/>
  <c r="F23" i="16" s="1"/>
  <c r="C10" i="16"/>
  <c r="E21" i="16" s="1"/>
  <c r="E23" i="16" s="1"/>
  <c r="B10" i="16"/>
  <c r="C9" i="16"/>
  <c r="D9" i="16" s="1"/>
  <c r="E9" i="16" s="1"/>
  <c r="D167" i="15"/>
  <c r="D166" i="15"/>
  <c r="B154" i="15"/>
  <c r="B143" i="15"/>
  <c r="F133" i="15"/>
  <c r="E133" i="15"/>
  <c r="A121" i="15"/>
  <c r="D34" i="15"/>
  <c r="C34" i="15"/>
  <c r="B34" i="15"/>
  <c r="C33" i="15"/>
  <c r="D33" i="15" s="1"/>
  <c r="E33" i="15" s="1"/>
  <c r="E34" i="15" s="1"/>
  <c r="E204" i="14"/>
  <c r="D204" i="14"/>
  <c r="D203" i="14"/>
  <c r="D208" i="14" s="1"/>
  <c r="B28" i="20" s="1"/>
  <c r="K196" i="14"/>
  <c r="B190" i="14"/>
  <c r="C181" i="14"/>
  <c r="C180" i="14"/>
  <c r="E174" i="14"/>
  <c r="E203" i="14" s="1"/>
  <c r="E208" i="14" s="1"/>
  <c r="C28" i="20" s="1"/>
  <c r="H164" i="14"/>
  <c r="G164" i="14"/>
  <c r="F164" i="14"/>
  <c r="E164" i="14"/>
  <c r="D164" i="14"/>
  <c r="C164" i="14"/>
  <c r="B164" i="14"/>
  <c r="H163" i="14"/>
  <c r="G163" i="14"/>
  <c r="F163" i="14"/>
  <c r="E163" i="14"/>
  <c r="D163" i="14"/>
  <c r="C163" i="14"/>
  <c r="B163" i="14"/>
  <c r="H162" i="14"/>
  <c r="G162" i="14"/>
  <c r="F162" i="14"/>
  <c r="E162" i="14"/>
  <c r="D162" i="14"/>
  <c r="C162" i="14"/>
  <c r="B162" i="14"/>
  <c r="H125" i="14"/>
  <c r="F125" i="14"/>
  <c r="F124" i="14"/>
  <c r="B121" i="14"/>
  <c r="A95" i="14"/>
  <c r="A147" i="14" s="1"/>
  <c r="A94" i="14"/>
  <c r="A146" i="14" s="1"/>
  <c r="H73" i="14"/>
  <c r="G73" i="14"/>
  <c r="G125" i="14" s="1"/>
  <c r="F73" i="14"/>
  <c r="G72" i="14"/>
  <c r="G124" i="14" s="1"/>
  <c r="F72" i="14"/>
  <c r="D72" i="14"/>
  <c r="D124" i="14" s="1"/>
  <c r="C72" i="14"/>
  <c r="C124" i="14" s="1"/>
  <c r="B72" i="14"/>
  <c r="B124" i="14" s="1"/>
  <c r="B71" i="14"/>
  <c r="B123" i="14" s="1"/>
  <c r="H70" i="14"/>
  <c r="H122" i="14" s="1"/>
  <c r="G70" i="14"/>
  <c r="G122" i="14" s="1"/>
  <c r="F70" i="14"/>
  <c r="F122" i="14" s="1"/>
  <c r="G69" i="14"/>
  <c r="G121" i="14" s="1"/>
  <c r="F69" i="14"/>
  <c r="F121" i="14" s="1"/>
  <c r="D69" i="14"/>
  <c r="D121" i="14" s="1"/>
  <c r="B69" i="14"/>
  <c r="B68" i="14"/>
  <c r="B120" i="14" s="1"/>
  <c r="H63" i="14"/>
  <c r="H71" i="14" s="1"/>
  <c r="H123" i="14" s="1"/>
  <c r="G63" i="14"/>
  <c r="G71" i="14" s="1"/>
  <c r="G123" i="14" s="1"/>
  <c r="F63" i="14"/>
  <c r="F71" i="14" s="1"/>
  <c r="F123" i="14" s="1"/>
  <c r="E63" i="14"/>
  <c r="D63" i="14"/>
  <c r="D73" i="14" s="1"/>
  <c r="D125" i="14" s="1"/>
  <c r="C63" i="14"/>
  <c r="C69" i="14" s="1"/>
  <c r="C121" i="14" s="1"/>
  <c r="B63" i="14"/>
  <c r="A58" i="14"/>
  <c r="A115" i="14" s="1"/>
  <c r="A167" i="14" s="1"/>
  <c r="A34" i="14"/>
  <c r="A91" i="14" s="1"/>
  <c r="A143" i="14" s="1"/>
  <c r="H32" i="14"/>
  <c r="H89" i="14" s="1"/>
  <c r="H141" i="14" s="1"/>
  <c r="G32" i="14"/>
  <c r="G89" i="14" s="1"/>
  <c r="G141" i="14" s="1"/>
  <c r="F32" i="14"/>
  <c r="F89" i="14" s="1"/>
  <c r="F141" i="14" s="1"/>
  <c r="E32" i="14"/>
  <c r="E89" i="14" s="1"/>
  <c r="E141" i="14" s="1"/>
  <c r="D32" i="14"/>
  <c r="D89" i="14" s="1"/>
  <c r="D141" i="14" s="1"/>
  <c r="C32" i="14"/>
  <c r="C89" i="14" s="1"/>
  <c r="C141" i="14" s="1"/>
  <c r="B32" i="14"/>
  <c r="B89" i="14" s="1"/>
  <c r="B141" i="14" s="1"/>
  <c r="A32" i="14"/>
  <c r="A89" i="14" s="1"/>
  <c r="A141" i="14" s="1"/>
  <c r="A16" i="14"/>
  <c r="A73" i="14" s="1"/>
  <c r="A125" i="14" s="1"/>
  <c r="N6" i="14"/>
  <c r="O6" i="14" s="1"/>
  <c r="M6" i="14"/>
  <c r="M5" i="14"/>
  <c r="B109" i="13"/>
  <c r="C40" i="18" s="1"/>
  <c r="C93" i="18" s="1"/>
  <c r="D100" i="13"/>
  <c r="E100" i="13" s="1"/>
  <c r="F100" i="13" s="1"/>
  <c r="G100" i="13" s="1"/>
  <c r="H100" i="13" s="1"/>
  <c r="C100" i="13"/>
  <c r="A97" i="13"/>
  <c r="A91" i="13"/>
  <c r="A88" i="13"/>
  <c r="A87" i="13"/>
  <c r="A85" i="13"/>
  <c r="A84" i="13"/>
  <c r="A82" i="13"/>
  <c r="A79" i="13"/>
  <c r="A78" i="13"/>
  <c r="A76" i="13"/>
  <c r="C74" i="13"/>
  <c r="D72" i="13"/>
  <c r="E72" i="13" s="1"/>
  <c r="F72" i="13" s="1"/>
  <c r="G72" i="13" s="1"/>
  <c r="H72" i="13" s="1"/>
  <c r="C72" i="13"/>
  <c r="A70" i="13"/>
  <c r="A59" i="14" s="1"/>
  <c r="A116" i="14" s="1"/>
  <c r="A168" i="14" s="1"/>
  <c r="A69" i="13"/>
  <c r="A68" i="13"/>
  <c r="A67" i="13"/>
  <c r="A56" i="14" s="1"/>
  <c r="A113" i="14" s="1"/>
  <c r="A165" i="14" s="1"/>
  <c r="A66" i="13"/>
  <c r="A55" i="14" s="1"/>
  <c r="A112" i="14" s="1"/>
  <c r="A164" i="14" s="1"/>
  <c r="A65" i="13"/>
  <c r="A64" i="13"/>
  <c r="A53" i="14" s="1"/>
  <c r="A110" i="14" s="1"/>
  <c r="A162" i="14" s="1"/>
  <c r="A63" i="13"/>
  <c r="A52" i="14" s="1"/>
  <c r="A109" i="14" s="1"/>
  <c r="A161" i="14" s="1"/>
  <c r="A62" i="13"/>
  <c r="A51" i="14" s="1"/>
  <c r="A108" i="14" s="1"/>
  <c r="A160" i="14" s="1"/>
  <c r="A61" i="13"/>
  <c r="A50" i="14" s="1"/>
  <c r="A107" i="14" s="1"/>
  <c r="A159" i="14" s="1"/>
  <c r="A60" i="13"/>
  <c r="A49" i="14" s="1"/>
  <c r="A106" i="14" s="1"/>
  <c r="A158" i="14" s="1"/>
  <c r="A59" i="13"/>
  <c r="A48" i="14" s="1"/>
  <c r="A105" i="14" s="1"/>
  <c r="A157" i="14" s="1"/>
  <c r="A58" i="13"/>
  <c r="A47" i="14" s="1"/>
  <c r="A104" i="14" s="1"/>
  <c r="A156" i="14" s="1"/>
  <c r="A57" i="13"/>
  <c r="A46" i="14" s="1"/>
  <c r="A103" i="14" s="1"/>
  <c r="A155" i="14" s="1"/>
  <c r="A56" i="13"/>
  <c r="A45" i="14" s="1"/>
  <c r="A102" i="14" s="1"/>
  <c r="A154" i="14" s="1"/>
  <c r="A55" i="13"/>
  <c r="A44" i="14" s="1"/>
  <c r="A101" i="14" s="1"/>
  <c r="A153" i="14" s="1"/>
  <c r="A54" i="13"/>
  <c r="A43" i="14" s="1"/>
  <c r="A100" i="14" s="1"/>
  <c r="A152" i="14" s="1"/>
  <c r="B53" i="13"/>
  <c r="A53" i="13"/>
  <c r="A42" i="14" s="1"/>
  <c r="A99" i="14" s="1"/>
  <c r="A151" i="14" s="1"/>
  <c r="A52" i="13"/>
  <c r="A41" i="14" s="1"/>
  <c r="A98" i="14" s="1"/>
  <c r="A150" i="14" s="1"/>
  <c r="A51" i="13"/>
  <c r="A40" i="14" s="1"/>
  <c r="A97" i="14" s="1"/>
  <c r="A149" i="14" s="1"/>
  <c r="A50" i="13"/>
  <c r="A39" i="14" s="1"/>
  <c r="A96" i="14" s="1"/>
  <c r="A148" i="14" s="1"/>
  <c r="A49" i="13"/>
  <c r="A38" i="14" s="1"/>
  <c r="A48" i="13"/>
  <c r="A37" i="14" s="1"/>
  <c r="A47" i="13"/>
  <c r="A46" i="13"/>
  <c r="A35" i="14" s="1"/>
  <c r="A92" i="14" s="1"/>
  <c r="A144" i="14" s="1"/>
  <c r="C44" i="13"/>
  <c r="D44" i="13" s="1"/>
  <c r="E44" i="13" s="1"/>
  <c r="F44" i="13" s="1"/>
  <c r="G44" i="13" s="1"/>
  <c r="H44" i="13" s="1"/>
  <c r="D38" i="13"/>
  <c r="B124" i="13" s="1"/>
  <c r="D37" i="13"/>
  <c r="D21" i="13"/>
  <c r="F21" i="13" s="1"/>
  <c r="H21" i="13" s="1"/>
  <c r="B81" i="13" s="1"/>
  <c r="D17" i="13"/>
  <c r="F14" i="13"/>
  <c r="H14" i="13" s="1"/>
  <c r="D14" i="13"/>
  <c r="W12" i="13"/>
  <c r="X12" i="13" s="1"/>
  <c r="V12" i="13"/>
  <c r="P12" i="13"/>
  <c r="Q12" i="13" s="1"/>
  <c r="R12" i="13" s="1"/>
  <c r="S12" i="13" s="1"/>
  <c r="T12" i="13" s="1"/>
  <c r="K12" i="13"/>
  <c r="L12" i="13" s="1"/>
  <c r="M12" i="13" s="1"/>
  <c r="N12" i="13" s="1"/>
  <c r="B7" i="13"/>
  <c r="B9" i="13" s="1"/>
  <c r="C113" i="12"/>
  <c r="D30" i="18" s="1"/>
  <c r="D83" i="18" s="1"/>
  <c r="B113" i="12"/>
  <c r="C30" i="18" s="1"/>
  <c r="C83" i="18" s="1"/>
  <c r="H90" i="12"/>
  <c r="D90" i="12"/>
  <c r="E90" i="12" s="1"/>
  <c r="F90" i="12" s="1"/>
  <c r="G90" i="12" s="1"/>
  <c r="C90" i="12"/>
  <c r="A87" i="12"/>
  <c r="A112" i="12" s="1"/>
  <c r="A30" i="18" s="1"/>
  <c r="A84" i="12"/>
  <c r="A81" i="12"/>
  <c r="A106" i="12" s="1"/>
  <c r="A23" i="18" s="1"/>
  <c r="A78" i="12"/>
  <c r="A103" i="12" s="1"/>
  <c r="A20" i="18" s="1"/>
  <c r="A76" i="12"/>
  <c r="A101" i="12" s="1"/>
  <c r="A18" i="18" s="1"/>
  <c r="A75" i="12"/>
  <c r="A73" i="12"/>
  <c r="A72" i="12"/>
  <c r="A70" i="12"/>
  <c r="A69" i="12"/>
  <c r="A67" i="12"/>
  <c r="C65" i="12"/>
  <c r="C77" i="12" s="1"/>
  <c r="A62" i="12"/>
  <c r="A31" i="14" s="1"/>
  <c r="A88" i="14" s="1"/>
  <c r="A140" i="14" s="1"/>
  <c r="A61" i="12"/>
  <c r="A60" i="12"/>
  <c r="A29" i="14" s="1"/>
  <c r="A86" i="14" s="1"/>
  <c r="A138" i="14" s="1"/>
  <c r="A59" i="12"/>
  <c r="A28" i="14" s="1"/>
  <c r="A85" i="14" s="1"/>
  <c r="A137" i="14" s="1"/>
  <c r="A58" i="12"/>
  <c r="A57" i="12"/>
  <c r="A26" i="14" s="1"/>
  <c r="A83" i="14" s="1"/>
  <c r="A135" i="14" s="1"/>
  <c r="A56" i="12"/>
  <c r="A25" i="14" s="1"/>
  <c r="A82" i="14" s="1"/>
  <c r="A134" i="14" s="1"/>
  <c r="A55" i="12"/>
  <c r="A54" i="12"/>
  <c r="A23" i="14" s="1"/>
  <c r="A80" i="14" s="1"/>
  <c r="A132" i="14" s="1"/>
  <c r="A53" i="12"/>
  <c r="A22" i="14" s="1"/>
  <c r="A79" i="14" s="1"/>
  <c r="A131" i="14" s="1"/>
  <c r="A52" i="12"/>
  <c r="A51" i="12"/>
  <c r="A50" i="12"/>
  <c r="A19" i="14" s="1"/>
  <c r="A76" i="14" s="1"/>
  <c r="A128" i="14" s="1"/>
  <c r="A49" i="12"/>
  <c r="A48" i="12"/>
  <c r="A17" i="14" s="1"/>
  <c r="A74" i="14" s="1"/>
  <c r="A126" i="14" s="1"/>
  <c r="A47" i="12"/>
  <c r="A27" i="15" s="1"/>
  <c r="A51" i="15" s="1"/>
  <c r="A46" i="12"/>
  <c r="A45" i="12"/>
  <c r="A25" i="15" s="1"/>
  <c r="A49" i="15" s="1"/>
  <c r="A44" i="12"/>
  <c r="A43" i="12"/>
  <c r="A42" i="12"/>
  <c r="C40" i="12"/>
  <c r="D40" i="12" s="1"/>
  <c r="E40" i="12" s="1"/>
  <c r="F40" i="12" s="1"/>
  <c r="G40" i="12" s="1"/>
  <c r="H40" i="12" s="1"/>
  <c r="W12" i="12"/>
  <c r="X12" i="12" s="1"/>
  <c r="V12" i="12"/>
  <c r="P12" i="12"/>
  <c r="Q12" i="12" s="1"/>
  <c r="R12" i="12" s="1"/>
  <c r="T12" i="12" s="1"/>
  <c r="K12" i="12"/>
  <c r="L12" i="12" s="1"/>
  <c r="M12" i="12" s="1"/>
  <c r="N12" i="12" s="1"/>
  <c r="B7" i="12"/>
  <c r="B9" i="12" s="1"/>
  <c r="I173" i="11"/>
  <c r="H173" i="11"/>
  <c r="G173" i="11"/>
  <c r="F173" i="11"/>
  <c r="E173" i="11"/>
  <c r="D173" i="11"/>
  <c r="C173" i="11"/>
  <c r="I158" i="11"/>
  <c r="H158" i="11"/>
  <c r="G158" i="11"/>
  <c r="F158" i="11"/>
  <c r="E158" i="11"/>
  <c r="D158" i="11"/>
  <c r="C158" i="11"/>
  <c r="B154" i="11"/>
  <c r="B169" i="11" s="1"/>
  <c r="B153" i="11"/>
  <c r="B168" i="11" s="1"/>
  <c r="I143" i="11"/>
  <c r="H143" i="11"/>
  <c r="G143" i="11"/>
  <c r="F143" i="11"/>
  <c r="E143" i="11"/>
  <c r="D143" i="11"/>
  <c r="C143" i="11"/>
  <c r="B143" i="11"/>
  <c r="B158" i="11" s="1"/>
  <c r="B173" i="11" s="1"/>
  <c r="B140" i="11"/>
  <c r="B155" i="11" s="1"/>
  <c r="B170" i="11" s="1"/>
  <c r="B137" i="11"/>
  <c r="B152" i="11" s="1"/>
  <c r="B167" i="11" s="1"/>
  <c r="I128" i="11"/>
  <c r="H128" i="11"/>
  <c r="G128" i="11"/>
  <c r="F128" i="11"/>
  <c r="E128" i="11"/>
  <c r="D128" i="11"/>
  <c r="C128" i="11"/>
  <c r="B128" i="11"/>
  <c r="B127" i="11"/>
  <c r="B142" i="11" s="1"/>
  <c r="B157" i="11" s="1"/>
  <c r="B172" i="11" s="1"/>
  <c r="B126" i="11"/>
  <c r="B141" i="11" s="1"/>
  <c r="B156" i="11" s="1"/>
  <c r="B171" i="11" s="1"/>
  <c r="B125" i="11"/>
  <c r="B124" i="11"/>
  <c r="B139" i="11" s="1"/>
  <c r="B123" i="11"/>
  <c r="B138" i="11" s="1"/>
  <c r="B122" i="11"/>
  <c r="B98" i="11"/>
  <c r="B97" i="11"/>
  <c r="B96" i="11"/>
  <c r="B95" i="11"/>
  <c r="C65" i="11"/>
  <c r="D65" i="11" s="1"/>
  <c r="E65" i="11" s="1"/>
  <c r="F65" i="11" s="1"/>
  <c r="G65" i="11" s="1"/>
  <c r="H65" i="11" s="1"/>
  <c r="I65" i="11" s="1"/>
  <c r="B37" i="11"/>
  <c r="B36" i="11"/>
  <c r="B35" i="11"/>
  <c r="B34" i="11"/>
  <c r="B33" i="11"/>
  <c r="B32" i="11"/>
  <c r="I27" i="10"/>
  <c r="H27" i="10"/>
  <c r="I26" i="10"/>
  <c r="H26" i="10"/>
  <c r="H112" i="11" s="1"/>
  <c r="H28" i="9"/>
  <c r="G28" i="9"/>
  <c r="H43" i="8"/>
  <c r="G43" i="8"/>
  <c r="C33" i="8"/>
  <c r="A33" i="8"/>
  <c r="B32" i="8"/>
  <c r="E31" i="8"/>
  <c r="D31" i="8"/>
  <c r="C31" i="8"/>
  <c r="B31" i="8"/>
  <c r="C30" i="8"/>
  <c r="B30" i="8"/>
  <c r="A30" i="8"/>
  <c r="C28" i="8"/>
  <c r="B28" i="8"/>
  <c r="A23" i="8"/>
  <c r="A22" i="8"/>
  <c r="A32" i="8" s="1"/>
  <c r="A21" i="8"/>
  <c r="A31" i="8" s="1"/>
  <c r="B20" i="8"/>
  <c r="A20" i="8"/>
  <c r="A19" i="8"/>
  <c r="A29" i="8" s="1"/>
  <c r="A18" i="8"/>
  <c r="A28" i="8" s="1"/>
  <c r="D10" i="8"/>
  <c r="E124" i="11" s="1"/>
  <c r="C10" i="8"/>
  <c r="B10" i="8"/>
  <c r="C53" i="7"/>
  <c r="E52" i="7"/>
  <c r="C52" i="7"/>
  <c r="C51" i="7"/>
  <c r="C50" i="7"/>
  <c r="C49" i="7"/>
  <c r="C48" i="7"/>
  <c r="G39" i="7"/>
  <c r="F39" i="7"/>
  <c r="E39" i="7"/>
  <c r="V16" i="7"/>
  <c r="Q16" i="7"/>
  <c r="C15" i="7"/>
  <c r="V13" i="7"/>
  <c r="U13" i="7"/>
  <c r="P13" i="7"/>
  <c r="Q13" i="7" s="1"/>
  <c r="R13" i="7" s="1"/>
  <c r="O13" i="7"/>
  <c r="N13" i="7"/>
  <c r="V12" i="7"/>
  <c r="U12" i="7"/>
  <c r="P12" i="7"/>
  <c r="Q12" i="7" s="1"/>
  <c r="R12" i="7" s="1"/>
  <c r="O12" i="7"/>
  <c r="N12" i="7"/>
  <c r="V11" i="7"/>
  <c r="U11" i="7"/>
  <c r="O11" i="7"/>
  <c r="P11" i="7" s="1"/>
  <c r="Q11" i="7" s="1"/>
  <c r="R11" i="7" s="1"/>
  <c r="N11" i="7"/>
  <c r="V10" i="7"/>
  <c r="U10" i="7"/>
  <c r="Q10" i="7"/>
  <c r="R10" i="7" s="1"/>
  <c r="O10" i="7"/>
  <c r="P10" i="7" s="1"/>
  <c r="N10" i="7"/>
  <c r="V9" i="7"/>
  <c r="U9" i="7"/>
  <c r="P9" i="7"/>
  <c r="Q9" i="7" s="1"/>
  <c r="R9" i="7" s="1"/>
  <c r="O9" i="7"/>
  <c r="N9" i="7"/>
  <c r="C9" i="7"/>
  <c r="V8" i="7"/>
  <c r="R8" i="7"/>
  <c r="R16" i="7" s="1"/>
  <c r="Q8" i="7"/>
  <c r="P8" i="7"/>
  <c r="P16" i="7" s="1"/>
  <c r="O8" i="7"/>
  <c r="O16" i="7" s="1"/>
  <c r="C8" i="7"/>
  <c r="C7" i="7"/>
  <c r="E72" i="5"/>
  <c r="F72" i="5" s="1"/>
  <c r="C69" i="5"/>
  <c r="C68" i="5"/>
  <c r="C67" i="5"/>
  <c r="C66" i="5"/>
  <c r="F65" i="5"/>
  <c r="E65" i="5"/>
  <c r="C65" i="5"/>
  <c r="L78" i="5" s="1"/>
  <c r="F64" i="5"/>
  <c r="E64" i="5"/>
  <c r="C64" i="5"/>
  <c r="L77" i="5" s="1"/>
  <c r="E63" i="5"/>
  <c r="F63" i="5" s="1"/>
  <c r="C63" i="5"/>
  <c r="L76" i="5" s="1"/>
  <c r="F61" i="5"/>
  <c r="I88" i="4"/>
  <c r="H43" i="20" s="1"/>
  <c r="H88" i="4"/>
  <c r="G43" i="20" s="1"/>
  <c r="A65" i="4"/>
  <c r="A64" i="4"/>
  <c r="A63" i="4"/>
  <c r="A62" i="4"/>
  <c r="C52" i="4"/>
  <c r="C51" i="4"/>
  <c r="C50" i="4"/>
  <c r="F23" i="4"/>
  <c r="E23" i="4"/>
  <c r="F22" i="4"/>
  <c r="E22" i="4"/>
  <c r="E21" i="4"/>
  <c r="E20" i="4"/>
  <c r="E19" i="4"/>
  <c r="E18" i="4"/>
  <c r="E17" i="4"/>
  <c r="E16" i="4"/>
  <c r="E15" i="4"/>
  <c r="F14" i="4"/>
  <c r="E14" i="4"/>
  <c r="F12" i="4"/>
  <c r="E12" i="4"/>
  <c r="F11" i="4"/>
  <c r="E11" i="4"/>
  <c r="F10" i="4"/>
  <c r="E10" i="4"/>
  <c r="E9" i="4"/>
  <c r="F8" i="4"/>
  <c r="E8" i="4"/>
  <c r="G4" i="4"/>
  <c r="F4" i="4"/>
  <c r="F15" i="4" s="1"/>
  <c r="D182" i="3"/>
  <c r="F171" i="3"/>
  <c r="F172" i="3" s="1"/>
  <c r="F117" i="3"/>
  <c r="F143" i="3" s="1"/>
  <c r="F109" i="3"/>
  <c r="H82" i="3"/>
  <c r="G78" i="3"/>
  <c r="G74" i="3"/>
  <c r="G73" i="3"/>
  <c r="H70" i="3"/>
  <c r="G67" i="3"/>
  <c r="G66" i="3"/>
  <c r="G64" i="3"/>
  <c r="G63" i="3"/>
  <c r="G62" i="3"/>
  <c r="G61" i="3"/>
  <c r="G59" i="3"/>
  <c r="G58" i="3"/>
  <c r="G57" i="3"/>
  <c r="G55" i="3"/>
  <c r="G54" i="3"/>
  <c r="G53" i="3"/>
  <c r="G52" i="3"/>
  <c r="G51" i="3"/>
  <c r="G50" i="3"/>
  <c r="H46" i="3"/>
  <c r="G45" i="3"/>
  <c r="G44" i="3"/>
  <c r="G43" i="3"/>
  <c r="G42" i="3"/>
  <c r="G41" i="3"/>
  <c r="G40" i="3"/>
  <c r="G39" i="3"/>
  <c r="G34" i="3"/>
  <c r="G33" i="3"/>
  <c r="G32" i="3"/>
  <c r="G31" i="3"/>
  <c r="G30" i="3"/>
  <c r="G29" i="3"/>
  <c r="G28" i="3"/>
  <c r="G27" i="3"/>
  <c r="G26" i="3"/>
  <c r="G25" i="3"/>
  <c r="G24" i="3"/>
  <c r="G23" i="3"/>
  <c r="G22" i="3"/>
  <c r="G35" i="3" s="1"/>
  <c r="G21" i="3"/>
  <c r="G11" i="3"/>
  <c r="G10" i="3"/>
  <c r="G9" i="3"/>
  <c r="I8" i="3"/>
  <c r="J8" i="3" s="1"/>
  <c r="F8" i="3"/>
  <c r="F7" i="3"/>
  <c r="F6" i="3"/>
  <c r="G32" i="2"/>
  <c r="C10" i="2"/>
  <c r="D9" i="2"/>
  <c r="C9" i="2"/>
  <c r="C8" i="2"/>
  <c r="F7" i="2"/>
  <c r="D7" i="2"/>
  <c r="C18" i="10" s="1"/>
  <c r="C7" i="2"/>
  <c r="C6" i="2"/>
  <c r="C5" i="2"/>
  <c r="C20" i="10" l="1"/>
  <c r="C56" i="4"/>
  <c r="F9" i="2"/>
  <c r="G20" i="4"/>
  <c r="G8" i="4"/>
  <c r="G13" i="4"/>
  <c r="G18" i="4"/>
  <c r="G23" i="4"/>
  <c r="G11" i="4"/>
  <c r="G16" i="4"/>
  <c r="G21" i="4"/>
  <c r="G9" i="4"/>
  <c r="G14" i="4"/>
  <c r="H4" i="4"/>
  <c r="G12" i="4"/>
  <c r="G22" i="4"/>
  <c r="G10" i="4"/>
  <c r="G46" i="3"/>
  <c r="E24" i="4"/>
  <c r="I51" i="4"/>
  <c r="H51" i="4"/>
  <c r="K50" i="4"/>
  <c r="C53" i="4"/>
  <c r="G51" i="4"/>
  <c r="F51" i="4"/>
  <c r="D51" i="4"/>
  <c r="G75" i="3"/>
  <c r="I73" i="3"/>
  <c r="G17" i="4"/>
  <c r="G79" i="3"/>
  <c r="G80" i="3" s="1"/>
  <c r="E69" i="5" s="1"/>
  <c r="F69" i="5" s="1"/>
  <c r="E51" i="4"/>
  <c r="C16" i="10"/>
  <c r="C38" i="4"/>
  <c r="F5" i="2"/>
  <c r="D8" i="2"/>
  <c r="E73" i="5"/>
  <c r="F73" i="5" s="1"/>
  <c r="F75" i="5" s="1"/>
  <c r="G19" i="4"/>
  <c r="D52" i="4"/>
  <c r="E74" i="5"/>
  <c r="F74" i="5" s="1"/>
  <c r="D10" i="2"/>
  <c r="G15" i="4"/>
  <c r="A139" i="18"/>
  <c r="A207" i="18" s="1"/>
  <c r="A71" i="18"/>
  <c r="A17" i="19"/>
  <c r="A48" i="19" s="1"/>
  <c r="A83" i="19" s="1"/>
  <c r="A106" i="13"/>
  <c r="A37" i="18" s="1"/>
  <c r="D161" i="18"/>
  <c r="D229" i="18"/>
  <c r="F17" i="4"/>
  <c r="A18" i="19"/>
  <c r="A49" i="19" s="1"/>
  <c r="A87" i="19" s="1"/>
  <c r="A107" i="13"/>
  <c r="A38" i="18" s="1"/>
  <c r="C109" i="13"/>
  <c r="A13" i="15"/>
  <c r="A37" i="15" s="1"/>
  <c r="A92" i="12"/>
  <c r="A9" i="18" s="1"/>
  <c r="B74" i="13"/>
  <c r="B46" i="13"/>
  <c r="B42" i="14"/>
  <c r="B99" i="14" s="1"/>
  <c r="B151" i="14" s="1"/>
  <c r="C53" i="13"/>
  <c r="F19" i="4"/>
  <c r="C32" i="12"/>
  <c r="C23" i="12"/>
  <c r="D19" i="12"/>
  <c r="D15" i="12"/>
  <c r="D22" i="12"/>
  <c r="D18" i="12"/>
  <c r="D20" i="12"/>
  <c r="D16" i="12"/>
  <c r="D14" i="12"/>
  <c r="D21" i="12"/>
  <c r="D17" i="12"/>
  <c r="F17" i="13"/>
  <c r="H17" i="13" s="1"/>
  <c r="B105" i="13"/>
  <c r="F9" i="4"/>
  <c r="F21" i="4"/>
  <c r="A144" i="18"/>
  <c r="A212" i="18" s="1"/>
  <c r="A76" i="18"/>
  <c r="F16" i="4"/>
  <c r="A23" i="15"/>
  <c r="A47" i="15" s="1"/>
  <c r="A12" i="14"/>
  <c r="A69" i="14" s="1"/>
  <c r="A121" i="14" s="1"/>
  <c r="A68" i="12"/>
  <c r="C169" i="11"/>
  <c r="C139" i="11"/>
  <c r="C124" i="11"/>
  <c r="C34" i="11"/>
  <c r="F18" i="4"/>
  <c r="D169" i="11"/>
  <c r="D139" i="11"/>
  <c r="D124" i="11"/>
  <c r="D34" i="11"/>
  <c r="I97" i="11"/>
  <c r="I12" i="11"/>
  <c r="G68" i="3"/>
  <c r="G70" i="3" s="1"/>
  <c r="E67" i="5" s="1"/>
  <c r="F67" i="5" s="1"/>
  <c r="F13" i="4"/>
  <c r="E139" i="11"/>
  <c r="E154" i="11"/>
  <c r="E34" i="11"/>
  <c r="E169" i="11"/>
  <c r="I61" i="11"/>
  <c r="J97" i="11"/>
  <c r="J12" i="11"/>
  <c r="A18" i="15"/>
  <c r="A42" i="15" s="1"/>
  <c r="A77" i="15" s="1"/>
  <c r="A97" i="12"/>
  <c r="A14" i="18" s="1"/>
  <c r="A54" i="14"/>
  <c r="A111" i="14" s="1"/>
  <c r="A163" i="14" s="1"/>
  <c r="A93" i="13"/>
  <c r="A26" i="19"/>
  <c r="A57" i="19" s="1"/>
  <c r="A118" i="19" s="1"/>
  <c r="A115" i="13"/>
  <c r="A46" i="18" s="1"/>
  <c r="A36" i="14"/>
  <c r="A93" i="14" s="1"/>
  <c r="A145" i="14" s="1"/>
  <c r="A75" i="13"/>
  <c r="F20" i="4"/>
  <c r="G272" i="20"/>
  <c r="G222" i="20"/>
  <c r="H258" i="20"/>
  <c r="H173" i="20"/>
  <c r="C154" i="11"/>
  <c r="A27" i="19"/>
  <c r="A58" i="19" s="1"/>
  <c r="A119" i="19" s="1"/>
  <c r="A116" i="13"/>
  <c r="A47" i="18" s="1"/>
  <c r="H272" i="20"/>
  <c r="H222" i="20"/>
  <c r="I258" i="20"/>
  <c r="I173" i="20"/>
  <c r="H61" i="11"/>
  <c r="D154" i="11"/>
  <c r="A30" i="14"/>
  <c r="A87" i="14" s="1"/>
  <c r="A139" i="14" s="1"/>
  <c r="A86" i="12"/>
  <c r="A111" i="12" s="1"/>
  <c r="A29" i="18" s="1"/>
  <c r="A26" i="15"/>
  <c r="A50" i="15" s="1"/>
  <c r="A71" i="12"/>
  <c r="A57" i="14"/>
  <c r="A114" i="14" s="1"/>
  <c r="A166" i="14" s="1"/>
  <c r="A96" i="13"/>
  <c r="A19" i="15"/>
  <c r="A43" i="15" s="1"/>
  <c r="A80" i="15" s="1"/>
  <c r="A98" i="12"/>
  <c r="A15" i="18" s="1"/>
  <c r="B20" i="19"/>
  <c r="B51" i="19" s="1"/>
  <c r="C81" i="13"/>
  <c r="A27" i="14"/>
  <c r="A84" i="14" s="1"/>
  <c r="A136" i="14" s="1"/>
  <c r="A83" i="12"/>
  <c r="A108" i="12" s="1"/>
  <c r="A25" i="18" s="1"/>
  <c r="B123" i="13"/>
  <c r="F37" i="13"/>
  <c r="H37" i="13" s="1"/>
  <c r="A15" i="14"/>
  <c r="A72" i="14" s="1"/>
  <c r="A124" i="14" s="1"/>
  <c r="I112" i="11"/>
  <c r="A141" i="18"/>
  <c r="A209" i="18" s="1"/>
  <c r="A73" i="18"/>
  <c r="A151" i="18"/>
  <c r="A219" i="18" s="1"/>
  <c r="A83" i="18"/>
  <c r="N14" i="13"/>
  <c r="H74" i="13" s="1"/>
  <c r="B102" i="13"/>
  <c r="M14" i="13"/>
  <c r="G74" i="13" s="1"/>
  <c r="L14" i="13"/>
  <c r="F74" i="13" s="1"/>
  <c r="K14" i="13"/>
  <c r="E74" i="13" s="1"/>
  <c r="J14" i="13"/>
  <c r="D74" i="13" s="1"/>
  <c r="A23" i="19"/>
  <c r="A54" i="19" s="1"/>
  <c r="A106" i="19" s="1"/>
  <c r="A112" i="13"/>
  <c r="A43" i="18" s="1"/>
  <c r="A24" i="14"/>
  <c r="A81" i="14" s="1"/>
  <c r="A133" i="14" s="1"/>
  <c r="A80" i="12"/>
  <c r="A105" i="12" s="1"/>
  <c r="A22" i="18" s="1"/>
  <c r="A15" i="15"/>
  <c r="A39" i="15" s="1"/>
  <c r="A94" i="12"/>
  <c r="A11" i="18" s="1"/>
  <c r="C55" i="18"/>
  <c r="C108" i="18" s="1"/>
  <c r="C124" i="13"/>
  <c r="A15" i="19"/>
  <c r="A46" i="19" s="1"/>
  <c r="A75" i="19" s="1"/>
  <c r="A104" i="13"/>
  <c r="A35" i="18" s="1"/>
  <c r="A24" i="19"/>
  <c r="A55" i="19" s="1"/>
  <c r="A110" i="19" s="1"/>
  <c r="A113" i="13"/>
  <c r="A44" i="18" s="1"/>
  <c r="A16" i="15"/>
  <c r="A40" i="15" s="1"/>
  <c r="A69" i="15" s="1"/>
  <c r="A95" i="12"/>
  <c r="A12" i="18" s="1"/>
  <c r="F38" i="13"/>
  <c r="H38" i="13" s="1"/>
  <c r="A29" i="15"/>
  <c r="A53" i="15" s="1"/>
  <c r="A21" i="14"/>
  <c r="A78" i="14" s="1"/>
  <c r="A130" i="14" s="1"/>
  <c r="A77" i="12"/>
  <c r="A102" i="12" s="1"/>
  <c r="A19" i="18" s="1"/>
  <c r="A30" i="15"/>
  <c r="A54" i="15" s="1"/>
  <c r="A109" i="12"/>
  <c r="A27" i="18" s="1"/>
  <c r="A81" i="13"/>
  <c r="A90" i="13"/>
  <c r="A18" i="14"/>
  <c r="A75" i="14" s="1"/>
  <c r="A127" i="14" s="1"/>
  <c r="A74" i="12"/>
  <c r="C13" i="19"/>
  <c r="A21" i="15"/>
  <c r="A45" i="15" s="1"/>
  <c r="A87" i="15" s="1"/>
  <c r="A100" i="12"/>
  <c r="C32" i="13"/>
  <c r="C23" i="13"/>
  <c r="D19" i="13"/>
  <c r="D15" i="13"/>
  <c r="D40" i="13"/>
  <c r="D22" i="13"/>
  <c r="D18" i="13"/>
  <c r="D39" i="13"/>
  <c r="D20" i="13"/>
  <c r="D16" i="13"/>
  <c r="A21" i="19"/>
  <c r="A52" i="19" s="1"/>
  <c r="A98" i="19" s="1"/>
  <c r="A110" i="13"/>
  <c r="A41" i="18" s="1"/>
  <c r="A30" i="19"/>
  <c r="A61" i="19" s="1"/>
  <c r="A122" i="19" s="1"/>
  <c r="A119" i="13"/>
  <c r="A50" i="18" s="1"/>
  <c r="A14" i="14"/>
  <c r="A71" i="14" s="1"/>
  <c r="A123" i="14" s="1"/>
  <c r="E73" i="14"/>
  <c r="E125" i="14" s="1"/>
  <c r="E70" i="14"/>
  <c r="E122" i="14" s="1"/>
  <c r="E71" i="14"/>
  <c r="E123" i="14" s="1"/>
  <c r="E68" i="14"/>
  <c r="E120" i="14" s="1"/>
  <c r="E72" i="14"/>
  <c r="E124" i="14" s="1"/>
  <c r="E69" i="14"/>
  <c r="E121" i="14" s="1"/>
  <c r="D219" i="18"/>
  <c r="D151" i="18"/>
  <c r="A95" i="13"/>
  <c r="A98" i="13"/>
  <c r="C10" i="20"/>
  <c r="C195" i="20" s="1"/>
  <c r="A22" i="15"/>
  <c r="A46" i="15" s="1"/>
  <c r="A11" i="14"/>
  <c r="A68" i="14" s="1"/>
  <c r="A120" i="14" s="1"/>
  <c r="A61" i="15"/>
  <c r="A140" i="15" s="1"/>
  <c r="A150" i="15" s="1"/>
  <c r="A100" i="15"/>
  <c r="A28" i="15"/>
  <c r="A52" i="15" s="1"/>
  <c r="A20" i="14"/>
  <c r="A77" i="14" s="1"/>
  <c r="E151" i="18"/>
  <c r="E219" i="18"/>
  <c r="D10" i="20"/>
  <c r="D195" i="20" s="1"/>
  <c r="D65" i="12"/>
  <c r="E65" i="12" s="1"/>
  <c r="F65" i="12" s="1"/>
  <c r="G65" i="12" s="1"/>
  <c r="H65" i="12" s="1"/>
  <c r="D113" i="12"/>
  <c r="A74" i="13"/>
  <c r="A102" i="13" s="1"/>
  <c r="A33" i="18" s="1"/>
  <c r="A77" i="13"/>
  <c r="A80" i="13"/>
  <c r="A83" i="13"/>
  <c r="A86" i="13"/>
  <c r="A89" i="13"/>
  <c r="A92" i="13"/>
  <c r="A36" i="19"/>
  <c r="A64" i="19" s="1"/>
  <c r="A131" i="19" s="1"/>
  <c r="A125" i="13"/>
  <c r="A56" i="18" s="1"/>
  <c r="I31" i="17"/>
  <c r="F31" i="17"/>
  <c r="H31" i="17"/>
  <c r="G31" i="17"/>
  <c r="E31" i="17"/>
  <c r="C27" i="17"/>
  <c r="A24" i="15"/>
  <c r="A48" i="15" s="1"/>
  <c r="A13" i="14"/>
  <c r="A70" i="14" s="1"/>
  <c r="A122" i="14" s="1"/>
  <c r="A106" i="15"/>
  <c r="A63" i="15"/>
  <c r="A141" i="15" s="1"/>
  <c r="A151" i="15" s="1"/>
  <c r="A94" i="13"/>
  <c r="B73" i="14"/>
  <c r="B125" i="14" s="1"/>
  <c r="B70" i="14"/>
  <c r="B122" i="14" s="1"/>
  <c r="F33" i="15"/>
  <c r="A79" i="12"/>
  <c r="A104" i="12" s="1"/>
  <c r="A21" i="18" s="1"/>
  <c r="A82" i="12"/>
  <c r="A107" i="12" s="1"/>
  <c r="A24" i="18" s="1"/>
  <c r="A85" i="12"/>
  <c r="C73" i="14"/>
  <c r="C125" i="14" s="1"/>
  <c r="C70" i="14"/>
  <c r="C122" i="14" s="1"/>
  <c r="C71" i="14"/>
  <c r="C123" i="14" s="1"/>
  <c r="C68" i="14"/>
  <c r="C120" i="14" s="1"/>
  <c r="D68" i="14"/>
  <c r="D120" i="14" s="1"/>
  <c r="H69" i="14"/>
  <c r="H121" i="14" s="1"/>
  <c r="D71" i="14"/>
  <c r="D123" i="14" s="1"/>
  <c r="H72" i="14"/>
  <c r="H124" i="14" s="1"/>
  <c r="D170" i="15"/>
  <c r="F68" i="14"/>
  <c r="F120" i="14" s="1"/>
  <c r="E34" i="16"/>
  <c r="G68" i="14"/>
  <c r="G120" i="14" s="1"/>
  <c r="C30" i="17"/>
  <c r="J11" i="17"/>
  <c r="C41" i="17" s="1"/>
  <c r="H68" i="14"/>
  <c r="H120" i="14" s="1"/>
  <c r="D70" i="14"/>
  <c r="D122" i="14" s="1"/>
  <c r="F9" i="16"/>
  <c r="E10" i="16"/>
  <c r="G21" i="16" s="1"/>
  <c r="G23" i="16" s="1"/>
  <c r="J33" i="17"/>
  <c r="H33" i="17"/>
  <c r="G33" i="17"/>
  <c r="F33" i="17"/>
  <c r="I33" i="17"/>
  <c r="I50" i="17"/>
  <c r="I52" i="17" s="1"/>
  <c r="J22" i="17"/>
  <c r="J31" i="17" s="1"/>
  <c r="I36" i="17"/>
  <c r="B20" i="20"/>
  <c r="D45" i="16"/>
  <c r="D47" i="16" s="1"/>
  <c r="C29" i="17"/>
  <c r="A147" i="18"/>
  <c r="A215" i="18" s="1"/>
  <c r="A79" i="18"/>
  <c r="E166" i="15"/>
  <c r="E167" i="15"/>
  <c r="G17" i="16"/>
  <c r="F29" i="16"/>
  <c r="F37" i="16"/>
  <c r="F43" i="16" s="1"/>
  <c r="F28" i="16"/>
  <c r="F34" i="16" s="1"/>
  <c r="C34" i="17"/>
  <c r="J15" i="17"/>
  <c r="F166" i="15"/>
  <c r="F167" i="15"/>
  <c r="G133" i="15"/>
  <c r="B10" i="20"/>
  <c r="B195" i="20" s="1"/>
  <c r="I28" i="17"/>
  <c r="F174" i="14"/>
  <c r="H32" i="17"/>
  <c r="J32" i="17"/>
  <c r="F32" i="17"/>
  <c r="E32" i="17"/>
  <c r="C35" i="17"/>
  <c r="J16" i="17"/>
  <c r="H36" i="17"/>
  <c r="G36" i="17"/>
  <c r="E36" i="17"/>
  <c r="F36" i="17"/>
  <c r="J28" i="17"/>
  <c r="F268" i="18"/>
  <c r="F244" i="18"/>
  <c r="F266" i="18"/>
  <c r="F269" i="18"/>
  <c r="F267" i="18"/>
  <c r="F215" i="18"/>
  <c r="F206" i="18"/>
  <c r="G124" i="18"/>
  <c r="A153" i="18"/>
  <c r="A221" i="18" s="1"/>
  <c r="A85" i="18"/>
  <c r="G28" i="17"/>
  <c r="H28" i="17"/>
  <c r="F220" i="18"/>
  <c r="F152" i="18"/>
  <c r="C42" i="17"/>
  <c r="E215" i="18"/>
  <c r="E206" i="18"/>
  <c r="E268" i="18"/>
  <c r="E244" i="18"/>
  <c r="E266" i="18"/>
  <c r="E269" i="18"/>
  <c r="H40" i="19"/>
  <c r="H41" i="19" s="1"/>
  <c r="G41" i="19"/>
  <c r="D185" i="19"/>
  <c r="B74" i="20"/>
  <c r="C76" i="20"/>
  <c r="E267" i="18"/>
  <c r="F181" i="19"/>
  <c r="F180" i="19"/>
  <c r="F185" i="19" s="1"/>
  <c r="F166" i="19"/>
  <c r="G149" i="19"/>
  <c r="B44" i="19"/>
  <c r="E165" i="19"/>
  <c r="B24" i="22"/>
  <c r="E166" i="19"/>
  <c r="C22" i="22"/>
  <c r="C10" i="22"/>
  <c r="C18" i="22" s="1"/>
  <c r="D18" i="22" s="1"/>
  <c r="B232" i="20"/>
  <c r="B244" i="20" s="1"/>
  <c r="B255" i="20" s="1"/>
  <c r="B177" i="20"/>
  <c r="C179" i="20" s="1"/>
  <c r="D179" i="20" s="1"/>
  <c r="E179" i="20" s="1"/>
  <c r="F179" i="20" s="1"/>
  <c r="G179" i="20" s="1"/>
  <c r="H179" i="20" s="1"/>
  <c r="I179" i="20" s="1"/>
  <c r="C14" i="22"/>
  <c r="C16" i="22" s="1"/>
  <c r="E41" i="17" l="1"/>
  <c r="G41" i="17"/>
  <c r="J41" i="17"/>
  <c r="F41" i="17"/>
  <c r="I41" i="17"/>
  <c r="I47" i="17" s="1"/>
  <c r="H41" i="17"/>
  <c r="D20" i="20"/>
  <c r="F45" i="16"/>
  <c r="F47" i="16" s="1"/>
  <c r="D20" i="8"/>
  <c r="G52" i="7"/>
  <c r="A22" i="19"/>
  <c r="A53" i="19" s="1"/>
  <c r="A102" i="19" s="1"/>
  <c r="A111" i="13"/>
  <c r="A42" i="18" s="1"/>
  <c r="E10" i="20"/>
  <c r="E195" i="20" s="1"/>
  <c r="E10" i="8"/>
  <c r="H39" i="7"/>
  <c r="F15" i="12"/>
  <c r="H15" i="12" s="1"/>
  <c r="B93" i="12"/>
  <c r="F19" i="12"/>
  <c r="H19" i="12" s="1"/>
  <c r="B97" i="12"/>
  <c r="A20" i="19"/>
  <c r="A51" i="19" s="1"/>
  <c r="A94" i="19" s="1"/>
  <c r="A109" i="13"/>
  <c r="A40" i="18" s="1"/>
  <c r="K51" i="4"/>
  <c r="K53" i="4"/>
  <c r="D22" i="22"/>
  <c r="C24" i="22"/>
  <c r="C32" i="22" s="1"/>
  <c r="C34" i="22" s="1"/>
  <c r="D76" i="20"/>
  <c r="F34" i="17"/>
  <c r="H34" i="17"/>
  <c r="G34" i="17"/>
  <c r="J34" i="17"/>
  <c r="I34" i="17"/>
  <c r="E34" i="17"/>
  <c r="A33" i="19"/>
  <c r="A122" i="13"/>
  <c r="A53" i="18" s="1"/>
  <c r="A154" i="18"/>
  <c r="A222" i="18" s="1"/>
  <c r="A86" i="18"/>
  <c r="A91" i="15"/>
  <c r="A58" i="15"/>
  <c r="A138" i="15" s="1"/>
  <c r="A148" i="15" s="1"/>
  <c r="F15" i="13"/>
  <c r="H15" i="13" s="1"/>
  <c r="B103" i="13"/>
  <c r="A148" i="18"/>
  <c r="A216" i="18" s="1"/>
  <c r="A80" i="18"/>
  <c r="D55" i="18"/>
  <c r="D108" i="18" s="1"/>
  <c r="D124" i="13"/>
  <c r="C33" i="18"/>
  <c r="C86" i="18" s="1"/>
  <c r="C102" i="13"/>
  <c r="C20" i="19"/>
  <c r="C51" i="19" s="1"/>
  <c r="D81" i="13"/>
  <c r="A14" i="19"/>
  <c r="A45" i="19" s="1"/>
  <c r="A71" i="19" s="1"/>
  <c r="A103" i="13"/>
  <c r="A34" i="18" s="1"/>
  <c r="F24" i="4"/>
  <c r="D28" i="12"/>
  <c r="D24" i="12"/>
  <c r="D31" i="12"/>
  <c r="D27" i="12"/>
  <c r="D30" i="12"/>
  <c r="D26" i="12"/>
  <c r="D25" i="12"/>
  <c r="D29" i="12"/>
  <c r="E52" i="4"/>
  <c r="C54" i="18"/>
  <c r="C107" i="18" s="1"/>
  <c r="C123" i="13"/>
  <c r="F170" i="15"/>
  <c r="B110" i="13"/>
  <c r="F22" i="13"/>
  <c r="H22" i="13" s="1"/>
  <c r="D39" i="4"/>
  <c r="C39" i="4"/>
  <c r="C40" i="4" s="1"/>
  <c r="H39" i="4"/>
  <c r="K38" i="4"/>
  <c r="F39" i="4"/>
  <c r="D38" i="4"/>
  <c r="E38" i="4" s="1"/>
  <c r="E41" i="4" s="1"/>
  <c r="F38" i="4" s="1"/>
  <c r="I39" i="4"/>
  <c r="G39" i="4"/>
  <c r="E39" i="4"/>
  <c r="I42" i="17"/>
  <c r="H42" i="17"/>
  <c r="F42" i="17"/>
  <c r="E42" i="17"/>
  <c r="G42" i="17"/>
  <c r="J42" i="17"/>
  <c r="F19" i="13"/>
  <c r="H19" i="13" s="1"/>
  <c r="B107" i="13"/>
  <c r="A136" i="18"/>
  <c r="A204" i="18" s="1"/>
  <c r="A68" i="18"/>
  <c r="B77" i="13"/>
  <c r="B49" i="13"/>
  <c r="B35" i="20"/>
  <c r="B35" i="8"/>
  <c r="D33" i="20"/>
  <c r="D33" i="8"/>
  <c r="B100" i="12"/>
  <c r="C100" i="12" s="1"/>
  <c r="D100" i="12" s="1"/>
  <c r="E100" i="12" s="1"/>
  <c r="F100" i="12" s="1"/>
  <c r="G100" i="12" s="1"/>
  <c r="H100" i="12" s="1"/>
  <c r="F22" i="12"/>
  <c r="H22" i="12" s="1"/>
  <c r="B126" i="13"/>
  <c r="F40" i="13"/>
  <c r="H40" i="13" s="1"/>
  <c r="F155" i="20"/>
  <c r="F143" i="20"/>
  <c r="F131" i="20"/>
  <c r="F119" i="20"/>
  <c r="F107" i="20"/>
  <c r="F95" i="20"/>
  <c r="F83" i="20"/>
  <c r="F150" i="20"/>
  <c r="F138" i="20"/>
  <c r="F126" i="20"/>
  <c r="F114" i="20"/>
  <c r="F102" i="20"/>
  <c r="F90" i="20"/>
  <c r="F152" i="20"/>
  <c r="F140" i="20"/>
  <c r="F128" i="20"/>
  <c r="F116" i="20"/>
  <c r="F104" i="20"/>
  <c r="F92" i="20"/>
  <c r="F154" i="20"/>
  <c r="F142" i="20"/>
  <c r="F130" i="20"/>
  <c r="F118" i="20"/>
  <c r="F106" i="20"/>
  <c r="F94" i="20"/>
  <c r="F82" i="20"/>
  <c r="F149" i="20"/>
  <c r="F137" i="20"/>
  <c r="F125" i="20"/>
  <c r="F113" i="20"/>
  <c r="F101" i="20"/>
  <c r="F89" i="20"/>
  <c r="F156" i="20"/>
  <c r="F144" i="20"/>
  <c r="F132" i="20"/>
  <c r="F120" i="20"/>
  <c r="F108" i="20"/>
  <c r="F96" i="20"/>
  <c r="F84" i="20"/>
  <c r="F141" i="20"/>
  <c r="F117" i="20"/>
  <c r="F93" i="20"/>
  <c r="F136" i="20"/>
  <c r="F112" i="20"/>
  <c r="F88" i="20"/>
  <c r="F145" i="20"/>
  <c r="F121" i="20"/>
  <c r="F97" i="20"/>
  <c r="F159" i="20"/>
  <c r="F135" i="20"/>
  <c r="F111" i="20"/>
  <c r="F87" i="20"/>
  <c r="F158" i="20"/>
  <c r="F134" i="20"/>
  <c r="F110" i="20"/>
  <c r="F86" i="20"/>
  <c r="F153" i="20"/>
  <c r="F129" i="20"/>
  <c r="F105" i="20"/>
  <c r="F151" i="20"/>
  <c r="F127" i="20"/>
  <c r="F103" i="20"/>
  <c r="F146" i="20"/>
  <c r="F122" i="20"/>
  <c r="F98" i="20"/>
  <c r="F157" i="20"/>
  <c r="F85" i="20"/>
  <c r="F99" i="20"/>
  <c r="F139" i="20"/>
  <c r="F124" i="20"/>
  <c r="F109" i="20"/>
  <c r="F91" i="20"/>
  <c r="F148" i="20"/>
  <c r="F133" i="20"/>
  <c r="F123" i="20"/>
  <c r="F115" i="20"/>
  <c r="F100" i="20"/>
  <c r="F147" i="20"/>
  <c r="C36" i="18"/>
  <c r="C89" i="18" s="1"/>
  <c r="C105" i="13"/>
  <c r="D28" i="13"/>
  <c r="D24" i="13"/>
  <c r="D31" i="13"/>
  <c r="D27" i="13"/>
  <c r="D30" i="13"/>
  <c r="D26" i="13"/>
  <c r="D29" i="13"/>
  <c r="D25" i="13"/>
  <c r="J36" i="17"/>
  <c r="F203" i="14"/>
  <c r="G174" i="14"/>
  <c r="F204" i="14"/>
  <c r="F31" i="20"/>
  <c r="F31" i="8"/>
  <c r="H30" i="17"/>
  <c r="G30" i="17"/>
  <c r="J30" i="17"/>
  <c r="I30" i="17"/>
  <c r="F30" i="17"/>
  <c r="E30" i="17"/>
  <c r="K30" i="17"/>
  <c r="A37" i="19"/>
  <c r="A65" i="19" s="1"/>
  <c r="A135" i="19" s="1"/>
  <c r="A126" i="13"/>
  <c r="A57" i="18" s="1"/>
  <c r="D36" i="13"/>
  <c r="D35" i="13"/>
  <c r="D33" i="13"/>
  <c r="D34" i="13"/>
  <c r="A167" i="18"/>
  <c r="A235" i="18" s="1"/>
  <c r="A99" i="18"/>
  <c r="B95" i="12"/>
  <c r="F17" i="12"/>
  <c r="H17" i="12" s="1"/>
  <c r="C42" i="14"/>
  <c r="C99" i="14" s="1"/>
  <c r="C151" i="14" s="1"/>
  <c r="D53" i="13"/>
  <c r="A158" i="18"/>
  <c r="A226" i="18" s="1"/>
  <c r="A90" i="18"/>
  <c r="I46" i="3"/>
  <c r="E66" i="5"/>
  <c r="F66" i="5" s="1"/>
  <c r="D40" i="18"/>
  <c r="D93" i="18" s="1"/>
  <c r="D109" i="13"/>
  <c r="A146" i="18"/>
  <c r="A214" i="18" s="1"/>
  <c r="A78" i="18"/>
  <c r="C21" i="10"/>
  <c r="F10" i="2"/>
  <c r="F87" i="4"/>
  <c r="D87" i="4"/>
  <c r="G87" i="4"/>
  <c r="E87" i="4"/>
  <c r="C87" i="4"/>
  <c r="D36" i="12"/>
  <c r="D35" i="12"/>
  <c r="F35" i="12" s="1"/>
  <c r="H35" i="12" s="1"/>
  <c r="D34" i="12"/>
  <c r="D33" i="12"/>
  <c r="G29" i="16"/>
  <c r="G30" i="16"/>
  <c r="H17" i="16"/>
  <c r="G37" i="16"/>
  <c r="G43" i="16" s="1"/>
  <c r="G28" i="16"/>
  <c r="G27" i="16"/>
  <c r="A97" i="15"/>
  <c r="A60" i="15"/>
  <c r="A109" i="18"/>
  <c r="A177" i="18"/>
  <c r="A242" i="18" s="1"/>
  <c r="A34" i="19"/>
  <c r="A62" i="19" s="1"/>
  <c r="A123" i="19" s="1"/>
  <c r="A123" i="13"/>
  <c r="A54" i="18" s="1"/>
  <c r="A94" i="18"/>
  <c r="A162" i="18"/>
  <c r="A230" i="18" s="1"/>
  <c r="A112" i="15"/>
  <c r="A65" i="15"/>
  <c r="A142" i="15" s="1"/>
  <c r="A152" i="15" s="1"/>
  <c r="A143" i="18"/>
  <c r="A211" i="18" s="1"/>
  <c r="A75" i="18"/>
  <c r="A35" i="19"/>
  <c r="A63" i="19" s="1"/>
  <c r="A127" i="19" s="1"/>
  <c r="A124" i="13"/>
  <c r="A55" i="18" s="1"/>
  <c r="A100" i="18"/>
  <c r="A168" i="18"/>
  <c r="A236" i="18" s="1"/>
  <c r="F21" i="12"/>
  <c r="H21" i="12" s="1"/>
  <c r="B99" i="12"/>
  <c r="C19" i="10"/>
  <c r="C62" i="4"/>
  <c r="F8" i="2"/>
  <c r="G24" i="4"/>
  <c r="F34" i="15"/>
  <c r="G33" i="15"/>
  <c r="D50" i="4"/>
  <c r="D241" i="18"/>
  <c r="D176" i="18"/>
  <c r="A32" i="19"/>
  <c r="A121" i="13"/>
  <c r="A52" i="18" s="1"/>
  <c r="A14" i="15"/>
  <c r="A38" i="15" s="1"/>
  <c r="A93" i="12"/>
  <c r="A10" i="18" s="1"/>
  <c r="N14" i="12"/>
  <c r="M14" i="12"/>
  <c r="L14" i="12"/>
  <c r="B92" i="12"/>
  <c r="K14" i="12"/>
  <c r="J14" i="12"/>
  <c r="H14" i="12"/>
  <c r="B35" i="14"/>
  <c r="C46" i="13"/>
  <c r="F29" i="17"/>
  <c r="E29" i="17"/>
  <c r="H29" i="17"/>
  <c r="I29" i="17"/>
  <c r="G29" i="17"/>
  <c r="K29" i="17"/>
  <c r="J29" i="17"/>
  <c r="A19" i="19"/>
  <c r="A50" i="19" s="1"/>
  <c r="A91" i="19" s="1"/>
  <c r="A108" i="13"/>
  <c r="A39" i="18" s="1"/>
  <c r="A88" i="18"/>
  <c r="A156" i="18"/>
  <c r="A224" i="18" s="1"/>
  <c r="A16" i="19"/>
  <c r="A47" i="19" s="1"/>
  <c r="A79" i="19" s="1"/>
  <c r="A105" i="13"/>
  <c r="A36" i="18" s="1"/>
  <c r="E30" i="18"/>
  <c r="E83" i="18" s="1"/>
  <c r="E113" i="12"/>
  <c r="A115" i="15"/>
  <c r="A66" i="15"/>
  <c r="B33" i="20"/>
  <c r="B33" i="8"/>
  <c r="A103" i="18"/>
  <c r="A171" i="18"/>
  <c r="A239" i="18" s="1"/>
  <c r="C20" i="20"/>
  <c r="E45" i="16"/>
  <c r="E47" i="16" s="1"/>
  <c r="F52" i="7"/>
  <c r="C20" i="8"/>
  <c r="A31" i="15"/>
  <c r="A55" i="15" s="1"/>
  <c r="A118" i="15" s="1"/>
  <c r="A110" i="12"/>
  <c r="A28" i="18" s="1"/>
  <c r="A31" i="19"/>
  <c r="A120" i="13"/>
  <c r="A51" i="18" s="1"/>
  <c r="B104" i="13"/>
  <c r="F16" i="13"/>
  <c r="H16" i="13" s="1"/>
  <c r="D77" i="12"/>
  <c r="A133" i="18"/>
  <c r="A201" i="18" s="1"/>
  <c r="A65" i="18"/>
  <c r="A164" i="18"/>
  <c r="A232" i="18" s="1"/>
  <c r="A96" i="18"/>
  <c r="A17" i="15"/>
  <c r="A41" i="15" s="1"/>
  <c r="A72" i="15" s="1"/>
  <c r="A96" i="12"/>
  <c r="A13" i="18" s="1"/>
  <c r="B94" i="12"/>
  <c r="F16" i="12"/>
  <c r="H16" i="12" s="1"/>
  <c r="G82" i="3"/>
  <c r="D6" i="2" s="1"/>
  <c r="E68" i="5"/>
  <c r="F68" i="5" s="1"/>
  <c r="A91" i="18"/>
  <c r="A159" i="18"/>
  <c r="A227" i="18" s="1"/>
  <c r="F10" i="16"/>
  <c r="H21" i="16" s="1"/>
  <c r="H23" i="16" s="1"/>
  <c r="G9" i="16"/>
  <c r="G268" i="18"/>
  <c r="G244" i="18"/>
  <c r="G266" i="18"/>
  <c r="G267" i="18"/>
  <c r="G215" i="18"/>
  <c r="G206" i="18"/>
  <c r="H124" i="18"/>
  <c r="G269" i="18"/>
  <c r="B32" i="22"/>
  <c r="D24" i="22"/>
  <c r="D30" i="20"/>
  <c r="D30" i="8"/>
  <c r="A132" i="18"/>
  <c r="A200" i="18" s="1"/>
  <c r="A64" i="18"/>
  <c r="B96" i="13"/>
  <c r="B68" i="13"/>
  <c r="D163" i="19"/>
  <c r="B67" i="19"/>
  <c r="G152" i="18"/>
  <c r="G180" i="19"/>
  <c r="G185" i="19" s="1"/>
  <c r="G166" i="19"/>
  <c r="H149" i="19"/>
  <c r="G181" i="19"/>
  <c r="G165" i="19"/>
  <c r="E274" i="18"/>
  <c r="G220" i="18"/>
  <c r="F274" i="18"/>
  <c r="E170" i="15"/>
  <c r="A145" i="18"/>
  <c r="A213" i="18" s="1"/>
  <c r="A77" i="18"/>
  <c r="F27" i="17"/>
  <c r="E27" i="17"/>
  <c r="I27" i="17"/>
  <c r="H27" i="17"/>
  <c r="H37" i="17" s="1"/>
  <c r="G27" i="17"/>
  <c r="K27" i="17"/>
  <c r="J27" i="17"/>
  <c r="A28" i="19"/>
  <c r="A59" i="19" s="1"/>
  <c r="A120" i="19" s="1"/>
  <c r="A117" i="13"/>
  <c r="A48" i="18" s="1"/>
  <c r="B108" i="13"/>
  <c r="F20" i="13"/>
  <c r="H20" i="13" s="1"/>
  <c r="C44" i="19"/>
  <c r="A62" i="15"/>
  <c r="A103" i="15"/>
  <c r="A135" i="18"/>
  <c r="A203" i="18" s="1"/>
  <c r="A67" i="18"/>
  <c r="A59" i="15"/>
  <c r="A139" i="15" s="1"/>
  <c r="A149" i="15" s="1"/>
  <c r="A94" i="15"/>
  <c r="B98" i="12"/>
  <c r="F20" i="12"/>
  <c r="H20" i="12" s="1"/>
  <c r="A130" i="18"/>
  <c r="A198" i="18" s="1"/>
  <c r="A62" i="18"/>
  <c r="H13" i="4"/>
  <c r="H18" i="4"/>
  <c r="H23" i="4"/>
  <c r="H11" i="4"/>
  <c r="H16" i="4"/>
  <c r="H21" i="4"/>
  <c r="H9" i="4"/>
  <c r="H14" i="4"/>
  <c r="I4" i="4"/>
  <c r="H19" i="4"/>
  <c r="H17" i="4"/>
  <c r="H15" i="4"/>
  <c r="H20" i="4"/>
  <c r="H10" i="4"/>
  <c r="H22" i="4"/>
  <c r="H12" i="4"/>
  <c r="H8" i="4"/>
  <c r="D57" i="4"/>
  <c r="C57" i="4"/>
  <c r="C58" i="4" s="1"/>
  <c r="H57" i="4"/>
  <c r="K56" i="4"/>
  <c r="F57" i="4"/>
  <c r="I57" i="4"/>
  <c r="G57" i="4"/>
  <c r="E57" i="4"/>
  <c r="C59" i="4"/>
  <c r="D56" i="4" s="1"/>
  <c r="D59" i="4" s="1"/>
  <c r="E56" i="4" s="1"/>
  <c r="E59" i="4" s="1"/>
  <c r="F56" i="4" s="1"/>
  <c r="F59" i="4" s="1"/>
  <c r="G56" i="4" s="1"/>
  <c r="G59" i="4" s="1"/>
  <c r="H56" i="4" s="1"/>
  <c r="H59" i="4" s="1"/>
  <c r="I56" i="4" s="1"/>
  <c r="I59" i="4" s="1"/>
  <c r="B106" i="13"/>
  <c r="F18" i="13"/>
  <c r="H18" i="13" s="1"/>
  <c r="A29" i="19"/>
  <c r="A60" i="19" s="1"/>
  <c r="A121" i="19" s="1"/>
  <c r="A118" i="13"/>
  <c r="A49" i="18" s="1"/>
  <c r="K22" i="17"/>
  <c r="K41" i="17" s="1"/>
  <c r="J50" i="17"/>
  <c r="J52" i="17" s="1"/>
  <c r="A140" i="18"/>
  <c r="A208" i="18" s="1"/>
  <c r="A72" i="18"/>
  <c r="D10" i="22"/>
  <c r="F35" i="17"/>
  <c r="E35" i="17"/>
  <c r="H35" i="17"/>
  <c r="G35" i="17"/>
  <c r="K35" i="17"/>
  <c r="J35" i="17"/>
  <c r="I35" i="17"/>
  <c r="H133" i="15"/>
  <c r="G166" i="15"/>
  <c r="G167" i="15"/>
  <c r="B29" i="20"/>
  <c r="B29" i="8"/>
  <c r="B36" i="8" s="1"/>
  <c r="A142" i="18"/>
  <c r="A210" i="18" s="1"/>
  <c r="A74" i="18"/>
  <c r="A25" i="19"/>
  <c r="A56" i="19" s="1"/>
  <c r="A114" i="19" s="1"/>
  <c r="A114" i="13"/>
  <c r="A45" i="18" s="1"/>
  <c r="A109" i="15"/>
  <c r="A64" i="15"/>
  <c r="B125" i="13"/>
  <c r="F39" i="13"/>
  <c r="H39" i="13" s="1"/>
  <c r="A20" i="15"/>
  <c r="A44" i="15" s="1"/>
  <c r="A83" i="15" s="1"/>
  <c r="A99" i="12"/>
  <c r="A16" i="18" s="1"/>
  <c r="A97" i="18"/>
  <c r="A165" i="18"/>
  <c r="A233" i="18" s="1"/>
  <c r="B67" i="13"/>
  <c r="B95" i="13"/>
  <c r="A150" i="18"/>
  <c r="A218" i="18" s="1"/>
  <c r="A82" i="18"/>
  <c r="F18" i="12"/>
  <c r="H18" i="12" s="1"/>
  <c r="B96" i="12"/>
  <c r="F41" i="4" l="1"/>
  <c r="G38" i="4" s="1"/>
  <c r="F10" i="20"/>
  <c r="F195" i="20" s="1"/>
  <c r="F10" i="8"/>
  <c r="I39" i="7"/>
  <c r="B69" i="13"/>
  <c r="B97" i="13"/>
  <c r="C39" i="18"/>
  <c r="C92" i="18" s="1"/>
  <c r="C108" i="13"/>
  <c r="C56" i="18"/>
  <c r="C109" i="18" s="1"/>
  <c r="C125" i="13"/>
  <c r="A169" i="18"/>
  <c r="A237" i="18" s="1"/>
  <c r="A101" i="18"/>
  <c r="D32" i="20"/>
  <c r="D32" i="8"/>
  <c r="B44" i="12"/>
  <c r="B69" i="12"/>
  <c r="A166" i="18"/>
  <c r="A234" i="18" s="1"/>
  <c r="A98" i="18"/>
  <c r="A173" i="18"/>
  <c r="A105" i="18"/>
  <c r="C16" i="18"/>
  <c r="C69" i="18" s="1"/>
  <c r="C99" i="12"/>
  <c r="D240" i="18"/>
  <c r="D175" i="18"/>
  <c r="C34" i="18"/>
  <c r="C87" i="18" s="1"/>
  <c r="C103" i="13"/>
  <c r="A160" i="18"/>
  <c r="A228" i="18" s="1"/>
  <c r="A92" i="18"/>
  <c r="B48" i="12"/>
  <c r="B73" i="12"/>
  <c r="K37" i="17"/>
  <c r="A157" i="18"/>
  <c r="A225" i="18" s="1"/>
  <c r="A89" i="18"/>
  <c r="A175" i="18"/>
  <c r="A240" i="18" s="1"/>
  <c r="A107" i="18"/>
  <c r="B109" i="12"/>
  <c r="C109" i="12" s="1"/>
  <c r="D109" i="12" s="1"/>
  <c r="E109" i="12" s="1"/>
  <c r="F109" i="12" s="1"/>
  <c r="G109" i="12" s="1"/>
  <c r="H109" i="12" s="1"/>
  <c r="F33" i="12"/>
  <c r="H33" i="12" s="1"/>
  <c r="B113" i="13"/>
  <c r="F26" i="13"/>
  <c r="H26" i="13" s="1"/>
  <c r="B105" i="12"/>
  <c r="F28" i="12"/>
  <c r="H28" i="12" s="1"/>
  <c r="H24" i="4"/>
  <c r="G37" i="17"/>
  <c r="C35" i="14"/>
  <c r="D46" i="13"/>
  <c r="B74" i="12"/>
  <c r="B49" i="12"/>
  <c r="C49" i="12" s="1"/>
  <c r="D49" i="12" s="1"/>
  <c r="E49" i="12" s="1"/>
  <c r="F49" i="12" s="1"/>
  <c r="G49" i="12" s="1"/>
  <c r="H49" i="12" s="1"/>
  <c r="B110" i="12"/>
  <c r="F34" i="12"/>
  <c r="H34" i="12" s="1"/>
  <c r="B111" i="12"/>
  <c r="E40" i="18"/>
  <c r="E93" i="18" s="1"/>
  <c r="E109" i="13"/>
  <c r="B120" i="13"/>
  <c r="F34" i="13"/>
  <c r="H34" i="13" s="1"/>
  <c r="B117" i="13"/>
  <c r="F30" i="13"/>
  <c r="H30" i="13" s="1"/>
  <c r="H276" i="20"/>
  <c r="C35" i="20"/>
  <c r="C35" i="8"/>
  <c r="B75" i="13"/>
  <c r="B47" i="13"/>
  <c r="K34" i="17"/>
  <c r="C14" i="18"/>
  <c r="C67" i="18" s="1"/>
  <c r="C97" i="12"/>
  <c r="A69" i="18"/>
  <c r="A137" i="18"/>
  <c r="A205" i="18" s="1"/>
  <c r="H166" i="15"/>
  <c r="H170" i="15" s="1"/>
  <c r="I133" i="15"/>
  <c r="H167" i="15"/>
  <c r="K59" i="4"/>
  <c r="L56" i="4" s="1"/>
  <c r="K57" i="4"/>
  <c r="K58" i="4" s="1"/>
  <c r="B34" i="19"/>
  <c r="B62" i="19" s="1"/>
  <c r="C95" i="13"/>
  <c r="E11" i="20"/>
  <c r="E196" i="20" s="1"/>
  <c r="H36" i="7"/>
  <c r="E11" i="8"/>
  <c r="H181" i="19"/>
  <c r="H166" i="19"/>
  <c r="I149" i="19"/>
  <c r="H165" i="19"/>
  <c r="H180" i="19"/>
  <c r="H185" i="19" s="1"/>
  <c r="B92" i="14"/>
  <c r="B144" i="14" s="1"/>
  <c r="E229" i="18"/>
  <c r="E161" i="18"/>
  <c r="B119" i="13"/>
  <c r="F33" i="13"/>
  <c r="H33" i="13" s="1"/>
  <c r="B114" i="13"/>
  <c r="F27" i="13"/>
  <c r="H27" i="13" s="1"/>
  <c r="C38" i="18"/>
  <c r="C91" i="18" s="1"/>
  <c r="C107" i="13"/>
  <c r="A155" i="18"/>
  <c r="A223" i="18" s="1"/>
  <c r="A87" i="18"/>
  <c r="E33" i="20"/>
  <c r="E33" i="8"/>
  <c r="G31" i="20"/>
  <c r="G31" i="8"/>
  <c r="I18" i="4"/>
  <c r="I23" i="4"/>
  <c r="I11" i="4"/>
  <c r="I16" i="4"/>
  <c r="I21" i="4"/>
  <c r="I9" i="4"/>
  <c r="I14" i="4"/>
  <c r="J4" i="4"/>
  <c r="I19" i="4"/>
  <c r="I12" i="4"/>
  <c r="I22" i="4"/>
  <c r="I10" i="4"/>
  <c r="I20" i="4"/>
  <c r="I8" i="4"/>
  <c r="I15" i="4"/>
  <c r="I17" i="4"/>
  <c r="I13" i="4"/>
  <c r="B35" i="19"/>
  <c r="B63" i="19" s="1"/>
  <c r="C96" i="13"/>
  <c r="B78" i="13"/>
  <c r="B50" i="13"/>
  <c r="B86" i="12"/>
  <c r="C86" i="12" s="1"/>
  <c r="D86" i="12" s="1"/>
  <c r="E86" i="12" s="1"/>
  <c r="F86" i="12" s="1"/>
  <c r="G86" i="12" s="1"/>
  <c r="H86" i="12" s="1"/>
  <c r="B61" i="12"/>
  <c r="B70" i="13"/>
  <c r="B98" i="13"/>
  <c r="G41" i="4"/>
  <c r="H38" i="4" s="1"/>
  <c r="H41" i="4" s="1"/>
  <c r="I38" i="4" s="1"/>
  <c r="I41" i="4" s="1"/>
  <c r="B72" i="12"/>
  <c r="B56" i="14"/>
  <c r="B113" i="14" s="1"/>
  <c r="B165" i="14" s="1"/>
  <c r="C67" i="13"/>
  <c r="C37" i="18"/>
  <c r="C90" i="18" s="1"/>
  <c r="C106" i="13"/>
  <c r="I37" i="17"/>
  <c r="B34" i="22"/>
  <c r="D34" i="22" s="1"/>
  <c r="D32" i="22"/>
  <c r="H9" i="16"/>
  <c r="H10" i="16" s="1"/>
  <c r="G10" i="16"/>
  <c r="B67" i="12"/>
  <c r="B112" i="12"/>
  <c r="F36" i="12"/>
  <c r="H36" i="12" s="1"/>
  <c r="F70" i="5"/>
  <c r="B121" i="13"/>
  <c r="F35" i="13"/>
  <c r="H35" i="13" s="1"/>
  <c r="B118" i="13"/>
  <c r="F31" i="13"/>
  <c r="H31" i="13" s="1"/>
  <c r="C57" i="18"/>
  <c r="C110" i="18" s="1"/>
  <c r="C126" i="13"/>
  <c r="B51" i="13"/>
  <c r="B79" i="13"/>
  <c r="F52" i="4"/>
  <c r="C10" i="18"/>
  <c r="C63" i="18" s="1"/>
  <c r="C93" i="12"/>
  <c r="H47" i="17"/>
  <c r="D53" i="4"/>
  <c r="A176" i="18"/>
  <c r="A241" i="18" s="1"/>
  <c r="A108" i="18"/>
  <c r="C88" i="4"/>
  <c r="B43" i="20" s="1"/>
  <c r="B43" i="8"/>
  <c r="B122" i="13"/>
  <c r="F36" i="13"/>
  <c r="H36" i="13" s="1"/>
  <c r="B111" i="13"/>
  <c r="F24" i="13"/>
  <c r="H24" i="13" s="1"/>
  <c r="F276" i="20"/>
  <c r="B50" i="12"/>
  <c r="B75" i="12"/>
  <c r="K39" i="4"/>
  <c r="K40" i="4" s="1"/>
  <c r="D20" i="19"/>
  <c r="D51" i="19" s="1"/>
  <c r="E81" i="13"/>
  <c r="B273" i="20"/>
  <c r="F76" i="20"/>
  <c r="B68" i="12"/>
  <c r="B43" i="12"/>
  <c r="F21" i="20"/>
  <c r="I53" i="17"/>
  <c r="F21" i="8"/>
  <c r="I49" i="7"/>
  <c r="B36" i="20"/>
  <c r="F37" i="17"/>
  <c r="D13" i="19"/>
  <c r="E77" i="12"/>
  <c r="E88" i="4"/>
  <c r="D43" i="20" s="1"/>
  <c r="D43" i="8"/>
  <c r="A178" i="18"/>
  <c r="A243" i="18" s="1"/>
  <c r="A110" i="18"/>
  <c r="B115" i="13"/>
  <c r="F28" i="13"/>
  <c r="H28" i="13" s="1"/>
  <c r="C276" i="20"/>
  <c r="B106" i="12"/>
  <c r="F29" i="12"/>
  <c r="H29" i="12" s="1"/>
  <c r="F47" i="17"/>
  <c r="C9" i="18"/>
  <c r="C62" i="18" s="1"/>
  <c r="C92" i="12"/>
  <c r="G34" i="15"/>
  <c r="H33" i="15"/>
  <c r="H34" i="15" s="1"/>
  <c r="G34" i="16"/>
  <c r="G88" i="4"/>
  <c r="F43" i="20" s="1"/>
  <c r="F43" i="8"/>
  <c r="G203" i="14"/>
  <c r="H174" i="14"/>
  <c r="G204" i="14"/>
  <c r="D36" i="18"/>
  <c r="D89" i="18" s="1"/>
  <c r="D105" i="13"/>
  <c r="E276" i="20"/>
  <c r="K42" i="17"/>
  <c r="K47" i="17" s="1"/>
  <c r="E40" i="4"/>
  <c r="F40" i="4" s="1"/>
  <c r="G40" i="4" s="1"/>
  <c r="I40" i="4" s="1"/>
  <c r="F25" i="12"/>
  <c r="H25" i="12" s="1"/>
  <c r="B102" i="12"/>
  <c r="D33" i="18"/>
  <c r="D86" i="18" s="1"/>
  <c r="D102" i="13"/>
  <c r="A106" i="18"/>
  <c r="A174" i="18"/>
  <c r="F139" i="11"/>
  <c r="F169" i="11"/>
  <c r="F34" i="11"/>
  <c r="F154" i="11"/>
  <c r="F124" i="11"/>
  <c r="J47" i="17"/>
  <c r="C67" i="19"/>
  <c r="E163" i="19"/>
  <c r="D168" i="19"/>
  <c r="D154" i="19"/>
  <c r="D169" i="19"/>
  <c r="H244" i="18"/>
  <c r="H266" i="18"/>
  <c r="H269" i="18"/>
  <c r="H267" i="18"/>
  <c r="H268" i="18"/>
  <c r="H215" i="18"/>
  <c r="H206" i="18"/>
  <c r="I124" i="18"/>
  <c r="H152" i="18"/>
  <c r="H220" i="18"/>
  <c r="B48" i="13"/>
  <c r="B76" i="13"/>
  <c r="G170" i="15"/>
  <c r="B80" i="13"/>
  <c r="B52" i="13"/>
  <c r="C35" i="18"/>
  <c r="C88" i="18" s="1"/>
  <c r="C104" i="13"/>
  <c r="C43" i="8"/>
  <c r="D88" i="4"/>
  <c r="C43" i="20" s="1"/>
  <c r="D42" i="14"/>
  <c r="D99" i="14" s="1"/>
  <c r="D151" i="14" s="1"/>
  <c r="E53" i="13"/>
  <c r="D225" i="18"/>
  <c r="D157" i="18"/>
  <c r="G276" i="20"/>
  <c r="B103" i="12"/>
  <c r="F26" i="12"/>
  <c r="H26" i="12" s="1"/>
  <c r="D222" i="18"/>
  <c r="D154" i="18"/>
  <c r="L50" i="4"/>
  <c r="G47" i="17"/>
  <c r="C131" i="11"/>
  <c r="C176" i="11"/>
  <c r="C161" i="11"/>
  <c r="C146" i="11"/>
  <c r="E37" i="17"/>
  <c r="C29" i="20"/>
  <c r="C29" i="8"/>
  <c r="C36" i="8" s="1"/>
  <c r="B57" i="14"/>
  <c r="B114" i="14" s="1"/>
  <c r="B166" i="14" s="1"/>
  <c r="C68" i="13"/>
  <c r="H191" i="14"/>
  <c r="G191" i="14"/>
  <c r="F191" i="14"/>
  <c r="E191" i="14"/>
  <c r="D191" i="14"/>
  <c r="C17" i="10"/>
  <c r="F6" i="2"/>
  <c r="F12" i="2" s="1"/>
  <c r="E19" i="2" s="1"/>
  <c r="C44" i="4"/>
  <c r="A172" i="18"/>
  <c r="A104" i="18"/>
  <c r="D35" i="20"/>
  <c r="D35" i="8"/>
  <c r="E30" i="20"/>
  <c r="E30" i="8"/>
  <c r="F88" i="4"/>
  <c r="E43" i="20" s="1"/>
  <c r="E43" i="8"/>
  <c r="F208" i="14"/>
  <c r="B54" i="13"/>
  <c r="B82" i="13"/>
  <c r="B107" i="12"/>
  <c r="F30" i="12"/>
  <c r="H30" i="12" s="1"/>
  <c r="E55" i="18"/>
  <c r="E108" i="18" s="1"/>
  <c r="E124" i="13"/>
  <c r="K52" i="4"/>
  <c r="H29" i="16"/>
  <c r="H27" i="16"/>
  <c r="H30" i="16"/>
  <c r="I17" i="16"/>
  <c r="H37" i="16"/>
  <c r="H43" i="16" s="1"/>
  <c r="H28" i="16"/>
  <c r="C41" i="18"/>
  <c r="C94" i="18" s="1"/>
  <c r="C110" i="13"/>
  <c r="F27" i="12"/>
  <c r="H27" i="12" s="1"/>
  <c r="B104" i="12"/>
  <c r="E241" i="18"/>
  <c r="E176" i="18"/>
  <c r="A163" i="18"/>
  <c r="A231" i="18" s="1"/>
  <c r="A95" i="18"/>
  <c r="E47" i="17"/>
  <c r="D276" i="20"/>
  <c r="C13" i="18"/>
  <c r="C66" i="18" s="1"/>
  <c r="C96" i="12"/>
  <c r="K50" i="17"/>
  <c r="K52" i="17" s="1"/>
  <c r="K36" i="17"/>
  <c r="K33" i="17"/>
  <c r="K32" i="17"/>
  <c r="K28" i="17"/>
  <c r="K31" i="17"/>
  <c r="C15" i="18"/>
  <c r="C68" i="18" s="1"/>
  <c r="C98" i="12"/>
  <c r="C11" i="18"/>
  <c r="C64" i="18" s="1"/>
  <c r="C94" i="12"/>
  <c r="A149" i="18"/>
  <c r="A217" i="18" s="1"/>
  <c r="A81" i="18"/>
  <c r="F30" i="18"/>
  <c r="F83" i="18" s="1"/>
  <c r="F113" i="12"/>
  <c r="A131" i="18"/>
  <c r="A199" i="18" s="1"/>
  <c r="A63" i="18"/>
  <c r="F63" i="4"/>
  <c r="E63" i="4"/>
  <c r="D63" i="4"/>
  <c r="C63" i="4"/>
  <c r="C64" i="4" s="1"/>
  <c r="H63" i="4"/>
  <c r="G63" i="4"/>
  <c r="K62" i="4"/>
  <c r="I63" i="4"/>
  <c r="C12" i="18"/>
  <c r="C65" i="18" s="1"/>
  <c r="C95" i="12"/>
  <c r="B112" i="13"/>
  <c r="F25" i="13"/>
  <c r="H25" i="13" s="1"/>
  <c r="B38" i="14"/>
  <c r="B95" i="14" s="1"/>
  <c r="B147" i="14" s="1"/>
  <c r="C49" i="13"/>
  <c r="D29" i="20"/>
  <c r="D29" i="8"/>
  <c r="F31" i="12"/>
  <c r="H31" i="12" s="1"/>
  <c r="B108" i="12"/>
  <c r="B45" i="12"/>
  <c r="B70" i="12"/>
  <c r="B71" i="12"/>
  <c r="B46" i="12"/>
  <c r="A170" i="18"/>
  <c r="A238" i="18" s="1"/>
  <c r="A102" i="18"/>
  <c r="D58" i="4"/>
  <c r="E58" i="4" s="1"/>
  <c r="F58" i="4" s="1"/>
  <c r="G58" i="4" s="1"/>
  <c r="H58" i="4" s="1"/>
  <c r="I58" i="4" s="1"/>
  <c r="J37" i="17"/>
  <c r="C32" i="20"/>
  <c r="C32" i="8"/>
  <c r="G274" i="18"/>
  <c r="A66" i="18"/>
  <c r="A134" i="18"/>
  <c r="A202" i="18" s="1"/>
  <c r="F219" i="18"/>
  <c r="F151" i="18"/>
  <c r="B116" i="13"/>
  <c r="F29" i="13"/>
  <c r="H29" i="13" s="1"/>
  <c r="B16" i="19"/>
  <c r="B47" i="19" s="1"/>
  <c r="C77" i="13"/>
  <c r="D54" i="18"/>
  <c r="D107" i="18" s="1"/>
  <c r="D123" i="13"/>
  <c r="B101" i="12"/>
  <c r="F24" i="12"/>
  <c r="H24" i="12" s="1"/>
  <c r="A161" i="18"/>
  <c r="A229" i="18" s="1"/>
  <c r="A93" i="18"/>
  <c r="K41" i="4" l="1"/>
  <c r="L38" i="4" s="1"/>
  <c r="H21" i="20"/>
  <c r="K53" i="17"/>
  <c r="K49" i="7"/>
  <c r="H21" i="8"/>
  <c r="C57" i="14"/>
  <c r="C114" i="14" s="1"/>
  <c r="C166" i="14" s="1"/>
  <c r="D68" i="13"/>
  <c r="E29" i="20"/>
  <c r="E29" i="8"/>
  <c r="G61" i="11"/>
  <c r="H97" i="11"/>
  <c r="H12" i="11"/>
  <c r="D44" i="19"/>
  <c r="B83" i="13"/>
  <c r="B55" i="13"/>
  <c r="D131" i="18"/>
  <c r="D199" i="18"/>
  <c r="I167" i="15"/>
  <c r="I166" i="15"/>
  <c r="I170" i="15" s="1"/>
  <c r="J133" i="15"/>
  <c r="F40" i="18"/>
  <c r="F93" i="18" s="1"/>
  <c r="F109" i="13"/>
  <c r="C22" i="18"/>
  <c r="C75" i="18" s="1"/>
  <c r="C105" i="12"/>
  <c r="E54" i="18"/>
  <c r="E107" i="18" s="1"/>
  <c r="E123" i="13"/>
  <c r="C47" i="18"/>
  <c r="C100" i="18" s="1"/>
  <c r="C116" i="13"/>
  <c r="B26" i="15"/>
  <c r="B50" i="15" s="1"/>
  <c r="B62" i="15" s="1"/>
  <c r="C46" i="12"/>
  <c r="C65" i="4"/>
  <c r="D62" i="4" s="1"/>
  <c r="D65" i="4" s="1"/>
  <c r="E62" i="4" s="1"/>
  <c r="E65" i="4" s="1"/>
  <c r="F62" i="4" s="1"/>
  <c r="F65" i="4" s="1"/>
  <c r="G62" i="4" s="1"/>
  <c r="G65" i="4" s="1"/>
  <c r="H62" i="4" s="1"/>
  <c r="H65" i="4" s="1"/>
  <c r="I62" i="4" s="1"/>
  <c r="I65" i="4" s="1"/>
  <c r="D134" i="18"/>
  <c r="D202" i="18"/>
  <c r="D110" i="13"/>
  <c r="D41" i="18"/>
  <c r="D94" i="18" s="1"/>
  <c r="L51" i="4"/>
  <c r="L53" i="4"/>
  <c r="B15" i="19"/>
  <c r="B46" i="19" s="1"/>
  <c r="C76" i="13"/>
  <c r="H274" i="18"/>
  <c r="F272" i="20"/>
  <c r="F222" i="20"/>
  <c r="G258" i="20"/>
  <c r="G173" i="20"/>
  <c r="C11" i="20"/>
  <c r="C196" i="20" s="1"/>
  <c r="F36" i="7"/>
  <c r="C11" i="8"/>
  <c r="C42" i="18"/>
  <c r="C95" i="18" s="1"/>
  <c r="C111" i="13"/>
  <c r="G52" i="4"/>
  <c r="B90" i="13"/>
  <c r="B62" i="13"/>
  <c r="B30" i="14"/>
  <c r="B87" i="14" s="1"/>
  <c r="B139" i="14" s="1"/>
  <c r="C61" i="12"/>
  <c r="B86" i="13"/>
  <c r="B58" i="13"/>
  <c r="F29" i="20"/>
  <c r="F29" i="8"/>
  <c r="F229" i="18"/>
  <c r="F161" i="18"/>
  <c r="D16" i="18"/>
  <c r="D69" i="18" s="1"/>
  <c r="D99" i="12"/>
  <c r="D56" i="18"/>
  <c r="D109" i="18" s="1"/>
  <c r="D125" i="13"/>
  <c r="H45" i="4"/>
  <c r="H67" i="4" s="1"/>
  <c r="K44" i="4"/>
  <c r="G45" i="4"/>
  <c r="G67" i="4" s="1"/>
  <c r="F45" i="4"/>
  <c r="F67" i="4" s="1"/>
  <c r="E45" i="4"/>
  <c r="E67" i="4" s="1"/>
  <c r="D45" i="4"/>
  <c r="D67" i="4" s="1"/>
  <c r="C45" i="4"/>
  <c r="I45" i="4"/>
  <c r="I67" i="4" s="1"/>
  <c r="C66" i="4"/>
  <c r="B13" i="9" s="1"/>
  <c r="B37" i="14"/>
  <c r="B94" i="14" s="1"/>
  <c r="B146" i="14" s="1"/>
  <c r="C48" i="13"/>
  <c r="E20" i="20"/>
  <c r="G45" i="16"/>
  <c r="G47" i="16" s="1"/>
  <c r="H52" i="7"/>
  <c r="E20" i="8"/>
  <c r="L39" i="4"/>
  <c r="L40" i="4" s="1"/>
  <c r="B94" i="13"/>
  <c r="B66" i="13"/>
  <c r="C66" i="13" s="1"/>
  <c r="D66" i="13" s="1"/>
  <c r="E66" i="13" s="1"/>
  <c r="F66" i="13" s="1"/>
  <c r="G66" i="13" s="1"/>
  <c r="H66" i="13" s="1"/>
  <c r="C49" i="18"/>
  <c r="C102" i="18" s="1"/>
  <c r="C118" i="13"/>
  <c r="F11" i="20"/>
  <c r="F196" i="20" s="1"/>
  <c r="I55" i="17"/>
  <c r="I36" i="7"/>
  <c r="F11" i="8"/>
  <c r="C45" i="18"/>
  <c r="C98" i="18" s="1"/>
  <c r="C114" i="13"/>
  <c r="F170" i="11"/>
  <c r="F140" i="11"/>
  <c r="F35" i="11"/>
  <c r="F155" i="11"/>
  <c r="F125" i="11"/>
  <c r="C28" i="18"/>
  <c r="C81" i="18" s="1"/>
  <c r="C111" i="12"/>
  <c r="D137" i="18"/>
  <c r="D205" i="18"/>
  <c r="D242" i="18"/>
  <c r="D177" i="18"/>
  <c r="C16" i="19"/>
  <c r="C47" i="19" s="1"/>
  <c r="D77" i="13"/>
  <c r="B16" i="15"/>
  <c r="B40" i="15" s="1"/>
  <c r="C70" i="12"/>
  <c r="D200" i="18"/>
  <c r="D132" i="18"/>
  <c r="F55" i="18"/>
  <c r="F108" i="18" s="1"/>
  <c r="F124" i="13"/>
  <c r="C34" i="9"/>
  <c r="D34" i="9" s="1"/>
  <c r="E34" i="9" s="1"/>
  <c r="F34" i="9" s="1"/>
  <c r="G34" i="9" s="1"/>
  <c r="H34" i="9" s="1"/>
  <c r="C9" i="10"/>
  <c r="C36" i="20"/>
  <c r="E42" i="14"/>
  <c r="E99" i="14" s="1"/>
  <c r="E151" i="14" s="1"/>
  <c r="F53" i="13"/>
  <c r="B21" i="15"/>
  <c r="B45" i="15" s="1"/>
  <c r="C75" i="12"/>
  <c r="C53" i="18"/>
  <c r="C106" i="18" s="1"/>
  <c r="D174" i="18" s="1"/>
  <c r="C122" i="13"/>
  <c r="B18" i="19"/>
  <c r="B49" i="19" s="1"/>
  <c r="C79" i="13"/>
  <c r="B93" i="13"/>
  <c r="B65" i="13"/>
  <c r="C65" i="13" s="1"/>
  <c r="D65" i="13" s="1"/>
  <c r="E65" i="13" s="1"/>
  <c r="F65" i="13" s="1"/>
  <c r="G65" i="13" s="1"/>
  <c r="H65" i="13" s="1"/>
  <c r="D37" i="18"/>
  <c r="D90" i="18" s="1"/>
  <c r="D106" i="13"/>
  <c r="B39" i="14"/>
  <c r="B96" i="14" s="1"/>
  <c r="B148" i="14" s="1"/>
  <c r="C50" i="13"/>
  <c r="B63" i="13"/>
  <c r="B91" i="13"/>
  <c r="B60" i="12"/>
  <c r="B85" i="12"/>
  <c r="D39" i="18"/>
  <c r="D92" i="18" s="1"/>
  <c r="D108" i="13"/>
  <c r="D9" i="18"/>
  <c r="D62" i="18" s="1"/>
  <c r="D92" i="12"/>
  <c r="B87" i="13"/>
  <c r="B59" i="13"/>
  <c r="C173" i="20"/>
  <c r="B272" i="20"/>
  <c r="B222" i="20"/>
  <c r="C258" i="20"/>
  <c r="D57" i="18"/>
  <c r="D110" i="18" s="1"/>
  <c r="D126" i="13"/>
  <c r="G63" i="5"/>
  <c r="F76" i="5"/>
  <c r="C56" i="14"/>
  <c r="C113" i="14" s="1"/>
  <c r="C165" i="14" s="1"/>
  <c r="D67" i="13"/>
  <c r="C35" i="19"/>
  <c r="C63" i="19" s="1"/>
  <c r="D96" i="13"/>
  <c r="D14" i="18"/>
  <c r="D67" i="18" s="1"/>
  <c r="D97" i="12"/>
  <c r="B19" i="15"/>
  <c r="B43" i="15" s="1"/>
  <c r="C73" i="12"/>
  <c r="B36" i="19"/>
  <c r="B64" i="19" s="1"/>
  <c r="C97" i="13"/>
  <c r="B60" i="13"/>
  <c r="B88" i="13"/>
  <c r="K65" i="4"/>
  <c r="L62" i="4" s="1"/>
  <c r="K63" i="4"/>
  <c r="K64" i="4" s="1"/>
  <c r="B54" i="12"/>
  <c r="B79" i="12"/>
  <c r="C79" i="12" s="1"/>
  <c r="D79" i="12" s="1"/>
  <c r="E79" i="12" s="1"/>
  <c r="F79" i="12" s="1"/>
  <c r="G79" i="12" s="1"/>
  <c r="H79" i="12" s="1"/>
  <c r="B25" i="15"/>
  <c r="B49" i="15" s="1"/>
  <c r="C45" i="12"/>
  <c r="C50" i="18"/>
  <c r="C103" i="18" s="1"/>
  <c r="C119" i="13"/>
  <c r="D204" i="18"/>
  <c r="D136" i="18"/>
  <c r="D243" i="18"/>
  <c r="D178" i="18"/>
  <c r="B62" i="12"/>
  <c r="B87" i="12"/>
  <c r="C87" i="12" s="1"/>
  <c r="D87" i="12" s="1"/>
  <c r="E87" i="12" s="1"/>
  <c r="F87" i="12" s="1"/>
  <c r="G87" i="12" s="1"/>
  <c r="H87" i="12" s="1"/>
  <c r="D38" i="18"/>
  <c r="D91" i="18" s="1"/>
  <c r="D107" i="13"/>
  <c r="C34" i="19"/>
  <c r="C62" i="19" s="1"/>
  <c r="D95" i="13"/>
  <c r="D203" i="18"/>
  <c r="D135" i="18"/>
  <c r="B20" i="15"/>
  <c r="B44" i="15" s="1"/>
  <c r="C74" i="12"/>
  <c r="B18" i="14"/>
  <c r="B75" i="14" s="1"/>
  <c r="C48" i="12"/>
  <c r="B17" i="14"/>
  <c r="B58" i="14"/>
  <c r="B115" i="14" s="1"/>
  <c r="B167" i="14" s="1"/>
  <c r="C69" i="13"/>
  <c r="H11" i="20"/>
  <c r="H196" i="20" s="1"/>
  <c r="K55" i="17"/>
  <c r="H11" i="8"/>
  <c r="K36" i="7"/>
  <c r="E272" i="20"/>
  <c r="E222" i="20"/>
  <c r="F258" i="20"/>
  <c r="F173" i="20"/>
  <c r="B21" i="19"/>
  <c r="B52" i="19" s="1"/>
  <c r="C82" i="13"/>
  <c r="D35" i="18"/>
  <c r="D88" i="18" s="1"/>
  <c r="D104" i="13"/>
  <c r="E168" i="19"/>
  <c r="E154" i="19"/>
  <c r="E169" i="19"/>
  <c r="B29" i="15"/>
  <c r="B53" i="15" s="1"/>
  <c r="B21" i="14"/>
  <c r="B78" i="14" s="1"/>
  <c r="B130" i="14" s="1"/>
  <c r="C52" i="12"/>
  <c r="C21" i="20"/>
  <c r="F53" i="17"/>
  <c r="F55" i="17" s="1"/>
  <c r="C21" i="8"/>
  <c r="F49" i="7"/>
  <c r="B23" i="15"/>
  <c r="B47" i="15" s="1"/>
  <c r="C43" i="12"/>
  <c r="C29" i="18"/>
  <c r="C82" i="18" s="1"/>
  <c r="C112" i="12"/>
  <c r="B18" i="15"/>
  <c r="B42" i="15" s="1"/>
  <c r="C72" i="12"/>
  <c r="D159" i="18"/>
  <c r="D227" i="18"/>
  <c r="B125" i="19"/>
  <c r="B142" i="19" s="1"/>
  <c r="D164" i="19"/>
  <c r="B124" i="19"/>
  <c r="B141" i="19" s="1"/>
  <c r="D167" i="19"/>
  <c r="B126" i="19"/>
  <c r="B143" i="19" s="1"/>
  <c r="D156" i="19" s="1"/>
  <c r="D35" i="14"/>
  <c r="E46" i="13"/>
  <c r="B15" i="15"/>
  <c r="B39" i="15" s="1"/>
  <c r="C69" i="12"/>
  <c r="D230" i="18"/>
  <c r="D162" i="18"/>
  <c r="B11" i="20"/>
  <c r="B196" i="20" s="1"/>
  <c r="E36" i="7"/>
  <c r="B11" i="8"/>
  <c r="D158" i="18"/>
  <c r="D226" i="18"/>
  <c r="C20" i="18"/>
  <c r="C73" i="18" s="1"/>
  <c r="C103" i="12"/>
  <c r="I266" i="18"/>
  <c r="I269" i="18"/>
  <c r="I215" i="18"/>
  <c r="I267" i="18"/>
  <c r="I206" i="18"/>
  <c r="I244" i="18"/>
  <c r="J124" i="18"/>
  <c r="I268" i="18"/>
  <c r="I220" i="18"/>
  <c r="I152" i="18"/>
  <c r="E36" i="18"/>
  <c r="E89" i="18" s="1"/>
  <c r="E105" i="13"/>
  <c r="B84" i="13"/>
  <c r="B56" i="13"/>
  <c r="C24" i="18"/>
  <c r="C77" i="18" s="1"/>
  <c r="C107" i="12"/>
  <c r="C19" i="18"/>
  <c r="C72" i="18" s="1"/>
  <c r="C102" i="12"/>
  <c r="E225" i="18"/>
  <c r="E157" i="18"/>
  <c r="D12" i="18"/>
  <c r="D65" i="18" s="1"/>
  <c r="D95" i="12"/>
  <c r="F30" i="20"/>
  <c r="F30" i="8"/>
  <c r="B43" i="14"/>
  <c r="B100" i="14" s="1"/>
  <c r="B152" i="14" s="1"/>
  <c r="C54" i="13"/>
  <c r="D156" i="18"/>
  <c r="D224" i="18"/>
  <c r="G21" i="20"/>
  <c r="J53" i="17"/>
  <c r="J49" i="7"/>
  <c r="G21" i="8"/>
  <c r="B56" i="12"/>
  <c r="B81" i="12"/>
  <c r="C81" i="12" s="1"/>
  <c r="D81" i="12" s="1"/>
  <c r="E81" i="12" s="1"/>
  <c r="F81" i="12" s="1"/>
  <c r="G81" i="12" s="1"/>
  <c r="H81" i="12" s="1"/>
  <c r="B14" i="15"/>
  <c r="B38" i="15" s="1"/>
  <c r="C68" i="12"/>
  <c r="B13" i="15"/>
  <c r="C67" i="12"/>
  <c r="B27" i="15"/>
  <c r="B51" i="15" s="1"/>
  <c r="C47" i="12"/>
  <c r="B36" i="14"/>
  <c r="C47" i="13"/>
  <c r="B89" i="13"/>
  <c r="B61" i="13"/>
  <c r="C92" i="14"/>
  <c r="C144" i="14" s="1"/>
  <c r="B57" i="13"/>
  <c r="B85" i="13"/>
  <c r="B24" i="15"/>
  <c r="B48" i="15" s="1"/>
  <c r="B60" i="15" s="1"/>
  <c r="C44" i="12"/>
  <c r="G154" i="11"/>
  <c r="G124" i="11"/>
  <c r="G169" i="11"/>
  <c r="G139" i="11"/>
  <c r="G34" i="11"/>
  <c r="C18" i="18"/>
  <c r="C71" i="18" s="1"/>
  <c r="C101" i="12"/>
  <c r="B53" i="12"/>
  <c r="B78" i="12"/>
  <c r="C78" i="12" s="1"/>
  <c r="D78" i="12" s="1"/>
  <c r="E78" i="12" s="1"/>
  <c r="F78" i="12" s="1"/>
  <c r="G78" i="12" s="1"/>
  <c r="H78" i="12" s="1"/>
  <c r="C61" i="11"/>
  <c r="D12" i="11"/>
  <c r="D97" i="11"/>
  <c r="C52" i="18"/>
  <c r="C105" i="18" s="1"/>
  <c r="D173" i="18" s="1"/>
  <c r="C121" i="13"/>
  <c r="J23" i="4"/>
  <c r="J11" i="4"/>
  <c r="J16" i="4"/>
  <c r="J21" i="4"/>
  <c r="J9" i="4"/>
  <c r="J14" i="4"/>
  <c r="K4" i="4"/>
  <c r="J19" i="4"/>
  <c r="J12" i="4"/>
  <c r="J17" i="4"/>
  <c r="J15" i="4"/>
  <c r="J13" i="4"/>
  <c r="J20" i="4"/>
  <c r="J10" i="4"/>
  <c r="J22" i="4"/>
  <c r="J8" i="4"/>
  <c r="J18" i="4"/>
  <c r="E222" i="18"/>
  <c r="E154" i="18"/>
  <c r="E32" i="20"/>
  <c r="E32" i="8"/>
  <c r="E64" i="4"/>
  <c r="F64" i="4" s="1"/>
  <c r="G64" i="4" s="1"/>
  <c r="H64" i="4" s="1"/>
  <c r="I64" i="4" s="1"/>
  <c r="B21" i="20"/>
  <c r="E53" i="17"/>
  <c r="E55" i="17" s="1"/>
  <c r="B21" i="8"/>
  <c r="E49" i="7"/>
  <c r="D198" i="18"/>
  <c r="D130" i="18"/>
  <c r="C43" i="18"/>
  <c r="C96" i="18" s="1"/>
  <c r="C112" i="13"/>
  <c r="H203" i="14"/>
  <c r="I174" i="14"/>
  <c r="H204" i="14"/>
  <c r="C23" i="18"/>
  <c r="C76" i="18" s="1"/>
  <c r="C106" i="12"/>
  <c r="E61" i="11"/>
  <c r="F97" i="11"/>
  <c r="F12" i="11"/>
  <c r="E76" i="20"/>
  <c r="G76" i="20" s="1"/>
  <c r="C77" i="20" s="1"/>
  <c r="B276" i="20"/>
  <c r="E50" i="4"/>
  <c r="B22" i="15"/>
  <c r="B46" i="15" s="1"/>
  <c r="C42" i="12"/>
  <c r="F33" i="20"/>
  <c r="F33" i="8"/>
  <c r="L59" i="4"/>
  <c r="M56" i="4" s="1"/>
  <c r="L57" i="4"/>
  <c r="L58" i="4" s="1"/>
  <c r="B14" i="19"/>
  <c r="C75" i="13"/>
  <c r="C48" i="18"/>
  <c r="C101" i="18" s="1"/>
  <c r="C117" i="13"/>
  <c r="D11" i="20"/>
  <c r="D196" i="20" s="1"/>
  <c r="D11" i="8"/>
  <c r="G36" i="7"/>
  <c r="C44" i="18"/>
  <c r="C97" i="18" s="1"/>
  <c r="C113" i="13"/>
  <c r="D34" i="18"/>
  <c r="D87" i="18" s="1"/>
  <c r="D103" i="13"/>
  <c r="D13" i="18"/>
  <c r="D66" i="18" s="1"/>
  <c r="D96" i="12"/>
  <c r="E240" i="18"/>
  <c r="E175" i="18"/>
  <c r="B17" i="15"/>
  <c r="B41" i="15" s="1"/>
  <c r="C71" i="12"/>
  <c r="D11" i="18"/>
  <c r="D64" i="18" s="1"/>
  <c r="D94" i="12"/>
  <c r="L52" i="4"/>
  <c r="D176" i="11"/>
  <c r="D146" i="11"/>
  <c r="D24" i="10"/>
  <c r="D131" i="11"/>
  <c r="D161" i="11"/>
  <c r="D15" i="18"/>
  <c r="D68" i="18" s="1"/>
  <c r="D98" i="12"/>
  <c r="F241" i="18"/>
  <c r="F176" i="18"/>
  <c r="D28" i="20"/>
  <c r="D36" i="20" s="1"/>
  <c r="D28" i="8"/>
  <c r="D36" i="8" s="1"/>
  <c r="E33" i="18"/>
  <c r="E86" i="18" s="1"/>
  <c r="E102" i="13"/>
  <c r="B19" i="14"/>
  <c r="B76" i="14" s="1"/>
  <c r="B128" i="14" s="1"/>
  <c r="C50" i="12"/>
  <c r="B40" i="14"/>
  <c r="B97" i="14" s="1"/>
  <c r="B149" i="14" s="1"/>
  <c r="C51" i="13"/>
  <c r="B17" i="19"/>
  <c r="B48" i="19" s="1"/>
  <c r="C78" i="13"/>
  <c r="C27" i="18"/>
  <c r="C80" i="18" s="1"/>
  <c r="C118" i="18" s="1"/>
  <c r="C110" i="12"/>
  <c r="D228" i="18"/>
  <c r="D160" i="18"/>
  <c r="C25" i="18"/>
  <c r="C78" i="18" s="1"/>
  <c r="C108" i="12"/>
  <c r="D64" i="4"/>
  <c r="B57" i="12"/>
  <c r="B82" i="12"/>
  <c r="C82" i="12" s="1"/>
  <c r="D82" i="12" s="1"/>
  <c r="E82" i="12" s="1"/>
  <c r="F82" i="12" s="1"/>
  <c r="G82" i="12" s="1"/>
  <c r="H82" i="12" s="1"/>
  <c r="F61" i="11"/>
  <c r="G97" i="11"/>
  <c r="G12" i="11"/>
  <c r="C272" i="20"/>
  <c r="C222" i="20"/>
  <c r="D258" i="20"/>
  <c r="D173" i="20"/>
  <c r="B83" i="12"/>
  <c r="C83" i="12" s="1"/>
  <c r="D83" i="12" s="1"/>
  <c r="E83" i="12" s="1"/>
  <c r="F83" i="12" s="1"/>
  <c r="G83" i="12" s="1"/>
  <c r="H83" i="12" s="1"/>
  <c r="B58" i="12"/>
  <c r="D61" i="11"/>
  <c r="E97" i="11"/>
  <c r="E12" i="11"/>
  <c r="C46" i="18"/>
  <c r="C99" i="18" s="1"/>
  <c r="C115" i="13"/>
  <c r="C38" i="14"/>
  <c r="C95" i="14" s="1"/>
  <c r="C147" i="14" s="1"/>
  <c r="D49" i="13"/>
  <c r="D201" i="18"/>
  <c r="D133" i="18"/>
  <c r="B18" i="9"/>
  <c r="C18" i="9" s="1"/>
  <c r="D18" i="9" s="1"/>
  <c r="E18" i="9" s="1"/>
  <c r="F18" i="9" s="1"/>
  <c r="G18" i="9" s="1"/>
  <c r="H18" i="9" s="1"/>
  <c r="G30" i="18"/>
  <c r="G83" i="18" s="1"/>
  <c r="G113" i="12"/>
  <c r="B41" i="14"/>
  <c r="B98" i="14" s="1"/>
  <c r="B150" i="14" s="1"/>
  <c r="C52" i="13"/>
  <c r="E258" i="20"/>
  <c r="D222" i="20"/>
  <c r="E173" i="20"/>
  <c r="D272" i="20"/>
  <c r="E21" i="20"/>
  <c r="H53" i="17"/>
  <c r="H55" i="17" s="1"/>
  <c r="E21" i="8"/>
  <c r="H49" i="7"/>
  <c r="I21" i="16"/>
  <c r="I23" i="16" s="1"/>
  <c r="B37" i="19"/>
  <c r="B65" i="19" s="1"/>
  <c r="C98" i="13"/>
  <c r="I24" i="4"/>
  <c r="B92" i="13"/>
  <c r="B64" i="13"/>
  <c r="C64" i="13" s="1"/>
  <c r="D64" i="13" s="1"/>
  <c r="E64" i="13" s="1"/>
  <c r="F64" i="13" s="1"/>
  <c r="G64" i="13" s="1"/>
  <c r="H64" i="13" s="1"/>
  <c r="E35" i="20"/>
  <c r="E35" i="8"/>
  <c r="B59" i="12"/>
  <c r="B84" i="12"/>
  <c r="D155" i="18"/>
  <c r="D223" i="18"/>
  <c r="G11" i="20"/>
  <c r="G196" i="20" s="1"/>
  <c r="J55" i="17"/>
  <c r="G11" i="8"/>
  <c r="J36" i="7"/>
  <c r="I27" i="16"/>
  <c r="I37" i="16"/>
  <c r="I43" i="16" s="1"/>
  <c r="I28" i="16"/>
  <c r="J17" i="16"/>
  <c r="I29" i="16"/>
  <c r="I30" i="16"/>
  <c r="B51" i="12"/>
  <c r="B76" i="12"/>
  <c r="G219" i="18"/>
  <c r="G151" i="18"/>
  <c r="H31" i="20"/>
  <c r="H31" i="8"/>
  <c r="C21" i="18"/>
  <c r="C74" i="18" s="1"/>
  <c r="C104" i="12"/>
  <c r="H34" i="16"/>
  <c r="D21" i="20"/>
  <c r="G53" i="17"/>
  <c r="G55" i="17" s="1"/>
  <c r="D21" i="8"/>
  <c r="G49" i="7"/>
  <c r="B19" i="19"/>
  <c r="B50" i="19" s="1"/>
  <c r="C80" i="13"/>
  <c r="G208" i="14"/>
  <c r="E13" i="19"/>
  <c r="F77" i="12"/>
  <c r="E20" i="19"/>
  <c r="E51" i="19" s="1"/>
  <c r="F81" i="13"/>
  <c r="D10" i="18"/>
  <c r="D63" i="18" s="1"/>
  <c r="D93" i="12"/>
  <c r="J21" i="16"/>
  <c r="J23" i="16" s="1"/>
  <c r="B59" i="14"/>
  <c r="B116" i="14" s="1"/>
  <c r="B168" i="14" s="1"/>
  <c r="C70" i="13"/>
  <c r="I181" i="19"/>
  <c r="I165" i="19"/>
  <c r="I180" i="19"/>
  <c r="I185" i="19" s="1"/>
  <c r="I166" i="19"/>
  <c r="J149" i="19"/>
  <c r="C51" i="18"/>
  <c r="C104" i="18" s="1"/>
  <c r="D172" i="18" s="1"/>
  <c r="C120" i="13"/>
  <c r="B80" i="12"/>
  <c r="C80" i="12" s="1"/>
  <c r="D80" i="12" s="1"/>
  <c r="E80" i="12" s="1"/>
  <c r="F80" i="12" s="1"/>
  <c r="G80" i="12" s="1"/>
  <c r="H80" i="12" s="1"/>
  <c r="B55" i="12"/>
  <c r="D251" i="18" l="1"/>
  <c r="D187" i="18"/>
  <c r="D149" i="18"/>
  <c r="D217" i="18"/>
  <c r="D49" i="18"/>
  <c r="D102" i="18" s="1"/>
  <c r="D118" i="13"/>
  <c r="E242" i="18"/>
  <c r="E177" i="18"/>
  <c r="B29" i="19"/>
  <c r="B60" i="19" s="1"/>
  <c r="C90" i="13"/>
  <c r="J167" i="15"/>
  <c r="J166" i="15"/>
  <c r="J170" i="15" s="1"/>
  <c r="B49" i="14"/>
  <c r="B106" i="14" s="1"/>
  <c r="B158" i="14" s="1"/>
  <c r="C60" i="13"/>
  <c r="E228" i="18"/>
  <c r="E160" i="18"/>
  <c r="J27" i="16"/>
  <c r="J37" i="16"/>
  <c r="J43" i="16" s="1"/>
  <c r="J28" i="16"/>
  <c r="J29" i="16"/>
  <c r="J30" i="16"/>
  <c r="I204" i="14"/>
  <c r="J174" i="14"/>
  <c r="I203" i="14"/>
  <c r="I208" i="14" s="1"/>
  <c r="I191" i="14"/>
  <c r="C15" i="15"/>
  <c r="C39" i="15" s="1"/>
  <c r="D69" i="12"/>
  <c r="D239" i="18"/>
  <c r="D171" i="18"/>
  <c r="E16" i="18"/>
  <c r="E69" i="18" s="1"/>
  <c r="E99" i="12"/>
  <c r="H52" i="4"/>
  <c r="C26" i="15"/>
  <c r="C50" i="15" s="1"/>
  <c r="C62" i="15" s="1"/>
  <c r="D46" i="12"/>
  <c r="G29" i="20"/>
  <c r="G29" i="8"/>
  <c r="D165" i="18"/>
  <c r="D233" i="18"/>
  <c r="B51" i="14"/>
  <c r="B108" i="14" s="1"/>
  <c r="B160" i="14" s="1"/>
  <c r="C62" i="13"/>
  <c r="E57" i="18"/>
  <c r="E110" i="18" s="1"/>
  <c r="E126" i="13"/>
  <c r="E200" i="18"/>
  <c r="E132" i="18"/>
  <c r="J24" i="4"/>
  <c r="D51" i="18"/>
  <c r="D104" i="18" s="1"/>
  <c r="E172" i="18" s="1"/>
  <c r="D120" i="13"/>
  <c r="D207" i="18"/>
  <c r="D139" i="18"/>
  <c r="B50" i="14"/>
  <c r="B107" i="14" s="1"/>
  <c r="B159" i="14" s="1"/>
  <c r="C61" i="13"/>
  <c r="B25" i="14"/>
  <c r="B82" i="14" s="1"/>
  <c r="B134" i="14" s="1"/>
  <c r="C56" i="12"/>
  <c r="E12" i="18"/>
  <c r="E65" i="18" s="1"/>
  <c r="E95" i="12"/>
  <c r="F225" i="18"/>
  <c r="F157" i="18"/>
  <c r="I274" i="18"/>
  <c r="D29" i="18"/>
  <c r="D82" i="18" s="1"/>
  <c r="D112" i="12"/>
  <c r="I140" i="11"/>
  <c r="I155" i="11"/>
  <c r="I35" i="11"/>
  <c r="I125" i="11"/>
  <c r="I170" i="11"/>
  <c r="D34" i="19"/>
  <c r="D62" i="19" s="1"/>
  <c r="E95" i="13"/>
  <c r="C19" i="15"/>
  <c r="C43" i="15" s="1"/>
  <c r="D73" i="12"/>
  <c r="B30" i="19"/>
  <c r="B61" i="19" s="1"/>
  <c r="C91" i="13"/>
  <c r="C21" i="15"/>
  <c r="C45" i="15" s="1"/>
  <c r="D75" i="12"/>
  <c r="H42" i="20"/>
  <c r="H14" i="9"/>
  <c r="H42" i="8"/>
  <c r="E137" i="18"/>
  <c r="E205" i="18"/>
  <c r="F32" i="20"/>
  <c r="F32" i="8"/>
  <c r="D152" i="15"/>
  <c r="B65" i="15"/>
  <c r="D142" i="15" s="1"/>
  <c r="D21" i="18"/>
  <c r="D74" i="18" s="1"/>
  <c r="D115" i="18" s="1"/>
  <c r="D104" i="12"/>
  <c r="C17" i="19"/>
  <c r="C48" i="19" s="1"/>
  <c r="D78" i="13"/>
  <c r="C17" i="15"/>
  <c r="C41" i="15" s="1"/>
  <c r="D71" i="12"/>
  <c r="E201" i="18"/>
  <c r="E133" i="18"/>
  <c r="C16" i="15"/>
  <c r="C40" i="15" s="1"/>
  <c r="D70" i="12"/>
  <c r="B33" i="19"/>
  <c r="C94" i="13"/>
  <c r="C46" i="4"/>
  <c r="C67" i="4"/>
  <c r="D42" i="18"/>
  <c r="D95" i="18" s="1"/>
  <c r="D111" i="13"/>
  <c r="C15" i="19"/>
  <c r="C46" i="19" s="1"/>
  <c r="D76" i="13"/>
  <c r="D47" i="18"/>
  <c r="D100" i="18" s="1"/>
  <c r="D116" i="13"/>
  <c r="J165" i="19"/>
  <c r="J180" i="19"/>
  <c r="J166" i="19"/>
  <c r="J181" i="19"/>
  <c r="F13" i="19"/>
  <c r="G77" i="12"/>
  <c r="I34" i="16"/>
  <c r="B31" i="19"/>
  <c r="C92" i="13"/>
  <c r="D167" i="18"/>
  <c r="D235" i="18"/>
  <c r="C40" i="14"/>
  <c r="C97" i="14" s="1"/>
  <c r="C149" i="14" s="1"/>
  <c r="D51" i="13"/>
  <c r="D48" i="18"/>
  <c r="D101" i="18" s="1"/>
  <c r="D117" i="13"/>
  <c r="C36" i="14"/>
  <c r="D47" i="13"/>
  <c r="D209" i="18"/>
  <c r="D141" i="18"/>
  <c r="D92" i="14"/>
  <c r="D144" i="14" s="1"/>
  <c r="C23" i="15"/>
  <c r="C47" i="15" s="1"/>
  <c r="D43" i="12"/>
  <c r="E35" i="18"/>
  <c r="E88" i="18" s="1"/>
  <c r="E104" i="13"/>
  <c r="E38" i="18"/>
  <c r="E91" i="18" s="1"/>
  <c r="E107" i="13"/>
  <c r="D150" i="15"/>
  <c r="B61" i="15"/>
  <c r="D140" i="15" s="1"/>
  <c r="E14" i="18"/>
  <c r="E67" i="18" s="1"/>
  <c r="E97" i="12"/>
  <c r="C39" i="14"/>
  <c r="C96" i="14" s="1"/>
  <c r="C148" i="14" s="1"/>
  <c r="D50" i="13"/>
  <c r="F42" i="14"/>
  <c r="F99" i="14" s="1"/>
  <c r="F151" i="14" s="1"/>
  <c r="G53" i="13"/>
  <c r="B70" i="15"/>
  <c r="B71" i="15"/>
  <c r="C42" i="20"/>
  <c r="C14" i="9"/>
  <c r="C42" i="8"/>
  <c r="D231" i="18"/>
  <c r="D163" i="18"/>
  <c r="D168" i="18"/>
  <c r="D236" i="18"/>
  <c r="D48" i="13"/>
  <c r="C37" i="14"/>
  <c r="C94" i="14" s="1"/>
  <c r="C146" i="14" s="1"/>
  <c r="B24" i="14"/>
  <c r="B81" i="14" s="1"/>
  <c r="B133" i="14" s="1"/>
  <c r="C55" i="12"/>
  <c r="C22" i="15"/>
  <c r="C46" i="15" s="1"/>
  <c r="D42" i="12"/>
  <c r="B31" i="15"/>
  <c r="B55" i="15" s="1"/>
  <c r="C85" i="12"/>
  <c r="D38" i="14"/>
  <c r="D95" i="14" s="1"/>
  <c r="D147" i="14" s="1"/>
  <c r="E49" i="13"/>
  <c r="D210" i="18"/>
  <c r="D142" i="18"/>
  <c r="E204" i="18"/>
  <c r="E136" i="18"/>
  <c r="E44" i="19"/>
  <c r="C41" i="14"/>
  <c r="C98" i="14" s="1"/>
  <c r="C150" i="14" s="1"/>
  <c r="D52" i="13"/>
  <c r="D237" i="18"/>
  <c r="D169" i="18"/>
  <c r="D77" i="20"/>
  <c r="F77" i="20" s="1"/>
  <c r="E77" i="20" s="1"/>
  <c r="G77" i="20" s="1"/>
  <c r="C78" i="20" s="1"/>
  <c r="D52" i="18"/>
  <c r="D105" i="18" s="1"/>
  <c r="E173" i="18" s="1"/>
  <c r="D121" i="13"/>
  <c r="B93" i="14"/>
  <c r="B145" i="14" s="1"/>
  <c r="B96" i="15"/>
  <c r="D149" i="15"/>
  <c r="B59" i="15"/>
  <c r="D139" i="15" s="1"/>
  <c r="B95" i="15"/>
  <c r="E224" i="18"/>
  <c r="E156" i="18"/>
  <c r="D69" i="13"/>
  <c r="C58" i="14"/>
  <c r="C115" i="14" s="1"/>
  <c r="C167" i="14" s="1"/>
  <c r="E227" i="18"/>
  <c r="E159" i="18"/>
  <c r="E203" i="18"/>
  <c r="E135" i="18"/>
  <c r="D16" i="19"/>
  <c r="D47" i="19" s="1"/>
  <c r="E77" i="13"/>
  <c r="L41" i="4"/>
  <c r="M38" i="4" s="1"/>
  <c r="D42" i="20"/>
  <c r="D206" i="20" s="1"/>
  <c r="D42" i="8"/>
  <c r="D14" i="9"/>
  <c r="F54" i="18"/>
  <c r="F107" i="18" s="1"/>
  <c r="F123" i="13"/>
  <c r="D57" i="14"/>
  <c r="D114" i="14" s="1"/>
  <c r="D166" i="14" s="1"/>
  <c r="E68" i="13"/>
  <c r="B30" i="15"/>
  <c r="B54" i="15" s="1"/>
  <c r="C84" i="12"/>
  <c r="C14" i="15"/>
  <c r="C38" i="15" s="1"/>
  <c r="D68" i="12"/>
  <c r="E10" i="18"/>
  <c r="E63" i="18" s="1"/>
  <c r="E93" i="12"/>
  <c r="B23" i="19"/>
  <c r="B54" i="19" s="1"/>
  <c r="C84" i="13"/>
  <c r="E131" i="18"/>
  <c r="E199" i="18"/>
  <c r="E125" i="11"/>
  <c r="E170" i="11"/>
  <c r="E155" i="11"/>
  <c r="E35" i="11"/>
  <c r="E140" i="11"/>
  <c r="D18" i="18"/>
  <c r="D71" i="18" s="1"/>
  <c r="D101" i="12"/>
  <c r="B79" i="15"/>
  <c r="B78" i="15"/>
  <c r="E243" i="18"/>
  <c r="E178" i="18"/>
  <c r="E53" i="4"/>
  <c r="D218" i="18"/>
  <c r="D150" i="18"/>
  <c r="C25" i="15"/>
  <c r="C49" i="15" s="1"/>
  <c r="D45" i="12"/>
  <c r="G33" i="20"/>
  <c r="G33" i="8"/>
  <c r="E28" i="20"/>
  <c r="E36" i="20" s="1"/>
  <c r="E28" i="8"/>
  <c r="E36" i="8" s="1"/>
  <c r="H170" i="11"/>
  <c r="H140" i="11"/>
  <c r="H35" i="11"/>
  <c r="H155" i="11"/>
  <c r="H125" i="11"/>
  <c r="C37" i="19"/>
  <c r="C65" i="19" s="1"/>
  <c r="D98" i="13"/>
  <c r="C57" i="12"/>
  <c r="B26" i="14"/>
  <c r="B83" i="14" s="1"/>
  <c r="B135" i="14" s="1"/>
  <c r="C19" i="14"/>
  <c r="C76" i="14" s="1"/>
  <c r="C128" i="14" s="1"/>
  <c r="D50" i="12"/>
  <c r="E13" i="18"/>
  <c r="E66" i="18" s="1"/>
  <c r="E96" i="12"/>
  <c r="C14" i="19"/>
  <c r="D75" i="13"/>
  <c r="D43" i="18"/>
  <c r="D96" i="18" s="1"/>
  <c r="D112" i="13"/>
  <c r="D19" i="18"/>
  <c r="D72" i="18" s="1"/>
  <c r="D102" i="12"/>
  <c r="J269" i="18"/>
  <c r="J267" i="18"/>
  <c r="J215" i="18"/>
  <c r="J206" i="18"/>
  <c r="J244" i="18"/>
  <c r="J266" i="18"/>
  <c r="J268" i="18"/>
  <c r="J220" i="18"/>
  <c r="J152" i="18"/>
  <c r="D35" i="19"/>
  <c r="D63" i="19" s="1"/>
  <c r="E96" i="13"/>
  <c r="B48" i="14"/>
  <c r="B105" i="14" s="1"/>
  <c r="B157" i="14" s="1"/>
  <c r="C59" i="13"/>
  <c r="E37" i="18"/>
  <c r="E90" i="18" s="1"/>
  <c r="E106" i="13"/>
  <c r="C206" i="20"/>
  <c r="D45" i="18"/>
  <c r="D98" i="18" s="1"/>
  <c r="D114" i="13"/>
  <c r="E42" i="20"/>
  <c r="E42" i="8"/>
  <c r="E14" i="9"/>
  <c r="D125" i="11"/>
  <c r="D170" i="11"/>
  <c r="D140" i="11"/>
  <c r="D155" i="11"/>
  <c r="D35" i="11"/>
  <c r="M50" i="4"/>
  <c r="F240" i="18"/>
  <c r="F175" i="18"/>
  <c r="C115" i="18"/>
  <c r="B46" i="14"/>
  <c r="B103" i="14" s="1"/>
  <c r="B155" i="14" s="1"/>
  <c r="C57" i="13"/>
  <c r="E56" i="18"/>
  <c r="E109" i="18" s="1"/>
  <c r="E125" i="13"/>
  <c r="B22" i="14"/>
  <c r="B79" i="14" s="1"/>
  <c r="B131" i="14" s="1"/>
  <c r="C53" i="12"/>
  <c r="D50" i="18"/>
  <c r="D103" i="18" s="1"/>
  <c r="D119" i="13"/>
  <c r="F20" i="20"/>
  <c r="H45" i="16"/>
  <c r="H47" i="16" s="1"/>
  <c r="I52" i="7"/>
  <c r="F20" i="8"/>
  <c r="D216" i="18"/>
  <c r="D148" i="18"/>
  <c r="D148" i="15"/>
  <c r="B58" i="15"/>
  <c r="B91" i="15"/>
  <c r="G30" i="20"/>
  <c r="G30" i="8"/>
  <c r="B28" i="19"/>
  <c r="B59" i="19" s="1"/>
  <c r="C89" i="13"/>
  <c r="B45" i="19"/>
  <c r="D164" i="18"/>
  <c r="D232" i="18"/>
  <c r="C27" i="15"/>
  <c r="C51" i="15" s="1"/>
  <c r="D47" i="12"/>
  <c r="D140" i="18"/>
  <c r="D208" i="18"/>
  <c r="C155" i="11"/>
  <c r="C125" i="11"/>
  <c r="C170" i="11"/>
  <c r="C140" i="11"/>
  <c r="C35" i="11"/>
  <c r="C21" i="19"/>
  <c r="C52" i="19" s="1"/>
  <c r="D82" i="13"/>
  <c r="B74" i="14"/>
  <c r="B126" i="14" s="1"/>
  <c r="B31" i="14"/>
  <c r="B88" i="14" s="1"/>
  <c r="B140" i="14" s="1"/>
  <c r="C62" i="12"/>
  <c r="B23" i="14"/>
  <c r="B80" i="14" s="1"/>
  <c r="B132" i="14" s="1"/>
  <c r="C54" i="12"/>
  <c r="B26" i="19"/>
  <c r="B57" i="19" s="1"/>
  <c r="C87" i="13"/>
  <c r="E226" i="18"/>
  <c r="E158" i="18"/>
  <c r="D234" i="18"/>
  <c r="D166" i="18"/>
  <c r="F42" i="20"/>
  <c r="F42" i="8"/>
  <c r="F14" i="9"/>
  <c r="B47" i="14"/>
  <c r="B104" i="14" s="1"/>
  <c r="B156" i="14" s="1"/>
  <c r="C58" i="13"/>
  <c r="D22" i="18"/>
  <c r="D75" i="18" s="1"/>
  <c r="D105" i="12"/>
  <c r="H10" i="20"/>
  <c r="H195" i="20" s="1"/>
  <c r="K39" i="7"/>
  <c r="H10" i="8"/>
  <c r="D28" i="18"/>
  <c r="D81" i="18" s="1"/>
  <c r="D111" i="12"/>
  <c r="D27" i="18"/>
  <c r="D80" i="18" s="1"/>
  <c r="D110" i="12"/>
  <c r="F36" i="18"/>
  <c r="F89" i="18" s="1"/>
  <c r="F105" i="13"/>
  <c r="C60" i="12"/>
  <c r="B29" i="14"/>
  <c r="B86" i="14" s="1"/>
  <c r="B138" i="14" s="1"/>
  <c r="E15" i="18"/>
  <c r="E68" i="18" s="1"/>
  <c r="E98" i="12"/>
  <c r="D46" i="18"/>
  <c r="D99" i="18" s="1"/>
  <c r="D115" i="13"/>
  <c r="E35" i="14"/>
  <c r="F46" i="13"/>
  <c r="C125" i="19"/>
  <c r="C142" i="19" s="1"/>
  <c r="E164" i="19"/>
  <c r="F18" i="7" s="1"/>
  <c r="E167" i="19"/>
  <c r="C124" i="19"/>
  <c r="C141" i="19" s="1"/>
  <c r="C126" i="19"/>
  <c r="C143" i="19" s="1"/>
  <c r="E156" i="19" s="1"/>
  <c r="G10" i="20"/>
  <c r="G195" i="20" s="1"/>
  <c r="J39" i="7"/>
  <c r="G10" i="8"/>
  <c r="H30" i="18"/>
  <c r="H83" i="18" s="1"/>
  <c r="H113" i="12"/>
  <c r="I30" i="18" s="1"/>
  <c r="I83" i="18" s="1"/>
  <c r="B27" i="14"/>
  <c r="B84" i="14" s="1"/>
  <c r="B136" i="14" s="1"/>
  <c r="C58" i="12"/>
  <c r="D25" i="18"/>
  <c r="D78" i="18" s="1"/>
  <c r="D108" i="12"/>
  <c r="F33" i="18"/>
  <c r="F86" i="18" s="1"/>
  <c r="F102" i="13"/>
  <c r="E34" i="18"/>
  <c r="E87" i="18" s="1"/>
  <c r="E103" i="13"/>
  <c r="C114" i="18"/>
  <c r="C24" i="15"/>
  <c r="C48" i="15" s="1"/>
  <c r="C60" i="15" s="1"/>
  <c r="D44" i="12"/>
  <c r="B63" i="15"/>
  <c r="D141" i="15" s="1"/>
  <c r="D151" i="15"/>
  <c r="E18" i="7"/>
  <c r="C17" i="14"/>
  <c r="D48" i="12"/>
  <c r="D56" i="14"/>
  <c r="D113" i="14" s="1"/>
  <c r="D165" i="14" s="1"/>
  <c r="E67" i="13"/>
  <c r="E9" i="18"/>
  <c r="E62" i="18" s="1"/>
  <c r="E92" i="12"/>
  <c r="G170" i="11"/>
  <c r="G140" i="11"/>
  <c r="G125" i="11"/>
  <c r="G35" i="11"/>
  <c r="G155" i="11"/>
  <c r="C47" i="4"/>
  <c r="B25" i="19"/>
  <c r="B56" i="19" s="1"/>
  <c r="C86" i="13"/>
  <c r="E230" i="18"/>
  <c r="E162" i="18"/>
  <c r="D143" i="18"/>
  <c r="D211" i="18"/>
  <c r="B44" i="14"/>
  <c r="B101" i="14" s="1"/>
  <c r="B153" i="14" s="1"/>
  <c r="C55" i="13"/>
  <c r="E11" i="18"/>
  <c r="E64" i="18" s="1"/>
  <c r="E94" i="12"/>
  <c r="C18" i="15"/>
  <c r="C42" i="15" s="1"/>
  <c r="D72" i="12"/>
  <c r="D53" i="18"/>
  <c r="D106" i="18" s="1"/>
  <c r="E174" i="18" s="1"/>
  <c r="D122" i="13"/>
  <c r="D238" i="18"/>
  <c r="D170" i="18"/>
  <c r="F20" i="19"/>
  <c r="F51" i="19" s="1"/>
  <c r="G81" i="13"/>
  <c r="D20" i="18"/>
  <c r="D73" i="18" s="1"/>
  <c r="D103" i="12"/>
  <c r="C19" i="19"/>
  <c r="C50" i="19" s="1"/>
  <c r="D80" i="13"/>
  <c r="E134" i="18"/>
  <c r="E202" i="18"/>
  <c r="B20" i="14"/>
  <c r="B77" i="14" s="1"/>
  <c r="C76" i="12"/>
  <c r="D146" i="18"/>
  <c r="D214" i="18"/>
  <c r="F222" i="18"/>
  <c r="F154" i="18"/>
  <c r="E223" i="18"/>
  <c r="E155" i="18"/>
  <c r="M57" i="4"/>
  <c r="M58" i="4" s="1"/>
  <c r="C13" i="15"/>
  <c r="D67" i="12"/>
  <c r="D24" i="18"/>
  <c r="D77" i="18" s="1"/>
  <c r="D107" i="12"/>
  <c r="D188" i="14"/>
  <c r="B127" i="14"/>
  <c r="L65" i="4"/>
  <c r="M62" i="4" s="1"/>
  <c r="L63" i="4"/>
  <c r="L64" i="4" s="1"/>
  <c r="E198" i="18"/>
  <c r="E130" i="18"/>
  <c r="D119" i="18"/>
  <c r="B32" i="19"/>
  <c r="C93" i="13"/>
  <c r="K45" i="4"/>
  <c r="K47" i="4" s="1"/>
  <c r="K66" i="4"/>
  <c r="D61" i="12"/>
  <c r="C30" i="14"/>
  <c r="C87" i="14" s="1"/>
  <c r="C139" i="14" s="1"/>
  <c r="E41" i="18"/>
  <c r="E94" i="18" s="1"/>
  <c r="E110" i="13"/>
  <c r="G40" i="18"/>
  <c r="G93" i="18" s="1"/>
  <c r="G109" i="13"/>
  <c r="B22" i="19"/>
  <c r="B53" i="19" s="1"/>
  <c r="C83" i="13"/>
  <c r="C56" i="13"/>
  <c r="B45" i="14"/>
  <c r="B102" i="14" s="1"/>
  <c r="B154" i="14" s="1"/>
  <c r="G241" i="18"/>
  <c r="G176" i="18"/>
  <c r="F163" i="19"/>
  <c r="D67" i="19"/>
  <c r="B28" i="14"/>
  <c r="B85" i="14" s="1"/>
  <c r="B137" i="14" s="1"/>
  <c r="C59" i="12"/>
  <c r="C36" i="19"/>
  <c r="C64" i="19" s="1"/>
  <c r="D97" i="13"/>
  <c r="H208" i="14"/>
  <c r="B52" i="14"/>
  <c r="B109" i="14" s="1"/>
  <c r="B161" i="14" s="1"/>
  <c r="C63" i="13"/>
  <c r="F35" i="20"/>
  <c r="F35" i="8"/>
  <c r="D70" i="13"/>
  <c r="C59" i="14"/>
  <c r="C116" i="14" s="1"/>
  <c r="C168" i="14" s="1"/>
  <c r="H219" i="18"/>
  <c r="H151" i="18"/>
  <c r="D23" i="18"/>
  <c r="D76" i="18" s="1"/>
  <c r="D106" i="12"/>
  <c r="C116" i="18"/>
  <c r="B28" i="15"/>
  <c r="B52" i="15" s="1"/>
  <c r="B64" i="15" s="1"/>
  <c r="C51" i="12"/>
  <c r="E176" i="11"/>
  <c r="E146" i="11"/>
  <c r="E131" i="11"/>
  <c r="E24" i="10"/>
  <c r="E161" i="11"/>
  <c r="D44" i="18"/>
  <c r="D97" i="18" s="1"/>
  <c r="D113" i="13"/>
  <c r="D212" i="18"/>
  <c r="D144" i="18"/>
  <c r="C119" i="18"/>
  <c r="D255" i="18" s="1"/>
  <c r="K16" i="4"/>
  <c r="K21" i="4"/>
  <c r="K9" i="4"/>
  <c r="K14" i="4"/>
  <c r="K19" i="4"/>
  <c r="K12" i="4"/>
  <c r="K17" i="4"/>
  <c r="K22" i="4"/>
  <c r="K10" i="4"/>
  <c r="K20" i="4"/>
  <c r="K8" i="4"/>
  <c r="K18" i="4"/>
  <c r="K23" i="4"/>
  <c r="K13" i="4"/>
  <c r="K15" i="4"/>
  <c r="K11" i="4"/>
  <c r="B24" i="19"/>
  <c r="B55" i="19" s="1"/>
  <c r="C85" i="13"/>
  <c r="B37" i="15"/>
  <c r="C43" i="14"/>
  <c r="C100" i="14" s="1"/>
  <c r="C152" i="14" s="1"/>
  <c r="D54" i="13"/>
  <c r="D213" i="18"/>
  <c r="D145" i="18"/>
  <c r="C29" i="15"/>
  <c r="C53" i="15" s="1"/>
  <c r="D52" i="12"/>
  <c r="C21" i="14"/>
  <c r="C78" i="14" s="1"/>
  <c r="C130" i="14" s="1"/>
  <c r="C20" i="15"/>
  <c r="C44" i="15" s="1"/>
  <c r="D74" i="12"/>
  <c r="C18" i="14"/>
  <c r="C75" i="14" s="1"/>
  <c r="B27" i="19"/>
  <c r="B58" i="19" s="1"/>
  <c r="C88" i="13"/>
  <c r="G60" i="5"/>
  <c r="G72" i="5"/>
  <c r="E39" i="18"/>
  <c r="E92" i="18" s="1"/>
  <c r="E108" i="13"/>
  <c r="C18" i="19"/>
  <c r="C49" i="19" s="1"/>
  <c r="D79" i="13"/>
  <c r="G55" i="18"/>
  <c r="G108" i="18" s="1"/>
  <c r="G124" i="13"/>
  <c r="G42" i="20"/>
  <c r="G14" i="9"/>
  <c r="G42" i="8"/>
  <c r="G229" i="18"/>
  <c r="G161" i="18"/>
  <c r="D78" i="20" l="1"/>
  <c r="F78" i="20" s="1"/>
  <c r="E78" i="20" s="1"/>
  <c r="G78" i="20" s="1"/>
  <c r="C79" i="20" s="1"/>
  <c r="E183" i="18"/>
  <c r="E247" i="18"/>
  <c r="L44" i="4"/>
  <c r="K69" i="4"/>
  <c r="C93" i="14"/>
  <c r="C145" i="14" s="1"/>
  <c r="G20" i="19"/>
  <c r="G51" i="19" s="1"/>
  <c r="H81" i="13"/>
  <c r="H20" i="19" s="1"/>
  <c r="H51" i="19" s="1"/>
  <c r="C52" i="14"/>
  <c r="C109" i="14" s="1"/>
  <c r="C161" i="14" s="1"/>
  <c r="D63" i="13"/>
  <c r="D180" i="14"/>
  <c r="D195" i="14"/>
  <c r="D40" i="14"/>
  <c r="D97" i="14" s="1"/>
  <c r="D149" i="14" s="1"/>
  <c r="E51" i="13"/>
  <c r="D114" i="18"/>
  <c r="C25" i="19"/>
  <c r="C56" i="19" s="1"/>
  <c r="D86" i="13"/>
  <c r="G222" i="18"/>
  <c r="G154" i="18"/>
  <c r="G36" i="18"/>
  <c r="G89" i="18" s="1"/>
  <c r="G105" i="13"/>
  <c r="E50" i="18"/>
  <c r="E103" i="18" s="1"/>
  <c r="E119" i="13"/>
  <c r="F13" i="18"/>
  <c r="F66" i="18" s="1"/>
  <c r="F96" i="12"/>
  <c r="D37" i="14"/>
  <c r="D94" i="14" s="1"/>
  <c r="D146" i="14" s="1"/>
  <c r="E48" i="13"/>
  <c r="D39" i="14"/>
  <c r="D96" i="14" s="1"/>
  <c r="D148" i="14" s="1"/>
  <c r="E50" i="13"/>
  <c r="D17" i="15"/>
  <c r="D41" i="15" s="1"/>
  <c r="E71" i="12"/>
  <c r="C27" i="19"/>
  <c r="C58" i="19" s="1"/>
  <c r="D88" i="13"/>
  <c r="B32" i="15"/>
  <c r="E233" i="18"/>
  <c r="E165" i="18"/>
  <c r="E23" i="18"/>
  <c r="E76" i="18" s="1"/>
  <c r="E106" i="12"/>
  <c r="H40" i="18"/>
  <c r="H93" i="18" s="1"/>
  <c r="H109" i="13"/>
  <c r="I40" i="18" s="1"/>
  <c r="I93" i="18" s="1"/>
  <c r="D118" i="18"/>
  <c r="D13" i="15"/>
  <c r="E67" i="12"/>
  <c r="B129" i="14"/>
  <c r="D181" i="14" s="1"/>
  <c r="D192" i="14"/>
  <c r="D187" i="14"/>
  <c r="C74" i="14"/>
  <c r="C126" i="14" s="1"/>
  <c r="E108" i="12"/>
  <c r="E25" i="18"/>
  <c r="E78" i="18" s="1"/>
  <c r="G225" i="18"/>
  <c r="G157" i="18"/>
  <c r="E143" i="18"/>
  <c r="E211" i="18"/>
  <c r="E239" i="18"/>
  <c r="E171" i="18"/>
  <c r="M51" i="4"/>
  <c r="M53" i="4" s="1"/>
  <c r="F37" i="18"/>
  <c r="F90" i="18" s="1"/>
  <c r="F106" i="13"/>
  <c r="F202" i="18"/>
  <c r="F134" i="18"/>
  <c r="F176" i="11"/>
  <c r="F146" i="11"/>
  <c r="F24" i="10"/>
  <c r="F131" i="11"/>
  <c r="F161" i="11"/>
  <c r="G240" i="18"/>
  <c r="G175" i="18"/>
  <c r="D58" i="14"/>
  <c r="D115" i="14" s="1"/>
  <c r="D167" i="14" s="1"/>
  <c r="E69" i="13"/>
  <c r="C31" i="19"/>
  <c r="D92" i="13"/>
  <c r="J11" i="11"/>
  <c r="J96" i="11"/>
  <c r="I60" i="11"/>
  <c r="H97" i="4"/>
  <c r="C25" i="14"/>
  <c r="C82" i="14" s="1"/>
  <c r="C134" i="14" s="1"/>
  <c r="D56" i="12"/>
  <c r="F178" i="18"/>
  <c r="F243" i="18"/>
  <c r="F205" i="18"/>
  <c r="F137" i="18"/>
  <c r="C29" i="19"/>
  <c r="C60" i="19" s="1"/>
  <c r="D90" i="13"/>
  <c r="C28" i="14"/>
  <c r="C85" i="14" s="1"/>
  <c r="C137" i="14" s="1"/>
  <c r="D59" i="12"/>
  <c r="C26" i="14"/>
  <c r="C83" i="14" s="1"/>
  <c r="C135" i="14" s="1"/>
  <c r="D57" i="12"/>
  <c r="E152" i="15"/>
  <c r="C65" i="15"/>
  <c r="E142" i="15" s="1"/>
  <c r="F198" i="18"/>
  <c r="F130" i="18"/>
  <c r="F223" i="18"/>
  <c r="F155" i="18"/>
  <c r="F257" i="20"/>
  <c r="E58" i="20"/>
  <c r="E271" i="20"/>
  <c r="E221" i="20"/>
  <c r="F172" i="20"/>
  <c r="C24" i="14"/>
  <c r="C81" i="14" s="1"/>
  <c r="C133" i="14" s="1"/>
  <c r="D55" i="12"/>
  <c r="C70" i="15"/>
  <c r="C71" i="15"/>
  <c r="K24" i="4"/>
  <c r="E44" i="18"/>
  <c r="E97" i="18" s="1"/>
  <c r="E113" i="13"/>
  <c r="D248" i="18"/>
  <c r="D184" i="18"/>
  <c r="D36" i="19"/>
  <c r="D64" i="19" s="1"/>
  <c r="E97" i="13"/>
  <c r="E213" i="18"/>
  <c r="E145" i="18"/>
  <c r="E53" i="18"/>
  <c r="E106" i="18" s="1"/>
  <c r="F174" i="18" s="1"/>
  <c r="E122" i="13"/>
  <c r="D17" i="14"/>
  <c r="E48" i="12"/>
  <c r="C26" i="19"/>
  <c r="C57" i="19" s="1"/>
  <c r="D87" i="13"/>
  <c r="G54" i="18"/>
  <c r="G107" i="18" s="1"/>
  <c r="G123" i="13"/>
  <c r="H60" i="11"/>
  <c r="I11" i="11"/>
  <c r="I96" i="11"/>
  <c r="G97" i="4"/>
  <c r="E212" i="18"/>
  <c r="E144" i="18"/>
  <c r="H229" i="18"/>
  <c r="H161" i="18"/>
  <c r="D116" i="18"/>
  <c r="C37" i="15"/>
  <c r="D18" i="15"/>
  <c r="D42" i="15" s="1"/>
  <c r="E72" i="12"/>
  <c r="D44" i="4"/>
  <c r="C69" i="4"/>
  <c r="D175" i="19"/>
  <c r="D177" i="19" s="1"/>
  <c r="F9" i="7"/>
  <c r="E174" i="19" s="1"/>
  <c r="E146" i="18"/>
  <c r="E214" i="18"/>
  <c r="E175" i="19"/>
  <c r="G9" i="7"/>
  <c r="F174" i="19" s="1"/>
  <c r="E27" i="18"/>
  <c r="E80" i="18" s="1"/>
  <c r="E110" i="12"/>
  <c r="C23" i="14"/>
  <c r="C80" i="14" s="1"/>
  <c r="C132" i="14" s="1"/>
  <c r="D54" i="12"/>
  <c r="C22" i="14"/>
  <c r="C79" i="14" s="1"/>
  <c r="C131" i="14" s="1"/>
  <c r="D53" i="12"/>
  <c r="F226" i="18"/>
  <c r="F158" i="18"/>
  <c r="D19" i="14"/>
  <c r="D76" i="14" s="1"/>
  <c r="D128" i="14" s="1"/>
  <c r="E50" i="12"/>
  <c r="E206" i="20"/>
  <c r="C23" i="19"/>
  <c r="C54" i="19" s="1"/>
  <c r="D84" i="13"/>
  <c r="F14" i="18"/>
  <c r="F67" i="18" s="1"/>
  <c r="F97" i="12"/>
  <c r="E42" i="18"/>
  <c r="E95" i="18" s="1"/>
  <c r="E111" i="13"/>
  <c r="D17" i="19"/>
  <c r="D48" i="19" s="1"/>
  <c r="E78" i="13"/>
  <c r="C51" i="14"/>
  <c r="C108" i="14" s="1"/>
  <c r="C160" i="14" s="1"/>
  <c r="D62" i="13"/>
  <c r="E188" i="18"/>
  <c r="E252" i="18"/>
  <c r="C48" i="14"/>
  <c r="C105" i="14" s="1"/>
  <c r="C157" i="14" s="1"/>
  <c r="D59" i="13"/>
  <c r="E18" i="18"/>
  <c r="E71" i="18" s="1"/>
  <c r="E115" i="18" s="1"/>
  <c r="E101" i="12"/>
  <c r="E60" i="11"/>
  <c r="F11" i="11"/>
  <c r="F96" i="11"/>
  <c r="D97" i="4"/>
  <c r="E38" i="14"/>
  <c r="E95" i="14" s="1"/>
  <c r="E147" i="14" s="1"/>
  <c r="F49" i="13"/>
  <c r="F203" i="18"/>
  <c r="F135" i="18"/>
  <c r="G20" i="20"/>
  <c r="I45" i="16"/>
  <c r="I47" i="16" s="1"/>
  <c r="G20" i="8"/>
  <c r="J52" i="7"/>
  <c r="E231" i="18"/>
  <c r="E163" i="18"/>
  <c r="I172" i="20"/>
  <c r="H271" i="20"/>
  <c r="H221" i="20"/>
  <c r="I257" i="20"/>
  <c r="H58" i="20"/>
  <c r="C50" i="14"/>
  <c r="C107" i="14" s="1"/>
  <c r="C159" i="14" s="1"/>
  <c r="D61" i="13"/>
  <c r="H30" i="20"/>
  <c r="H30" i="8"/>
  <c r="G58" i="20"/>
  <c r="G271" i="20"/>
  <c r="H257" i="20"/>
  <c r="G221" i="20"/>
  <c r="H172" i="20"/>
  <c r="D20" i="15"/>
  <c r="D44" i="15" s="1"/>
  <c r="D18" i="14"/>
  <c r="D75" i="14" s="1"/>
  <c r="E74" i="12"/>
  <c r="F230" i="18"/>
  <c r="F162" i="18"/>
  <c r="M59" i="4"/>
  <c r="N56" i="4" s="1"/>
  <c r="D19" i="19"/>
  <c r="D50" i="19" s="1"/>
  <c r="E80" i="13"/>
  <c r="F11" i="18"/>
  <c r="F64" i="18" s="1"/>
  <c r="F94" i="12"/>
  <c r="F35" i="14"/>
  <c r="G46" i="13"/>
  <c r="E28" i="18"/>
  <c r="E81" i="18" s="1"/>
  <c r="E111" i="12"/>
  <c r="C31" i="14"/>
  <c r="C88" i="14" s="1"/>
  <c r="C140" i="14" s="1"/>
  <c r="D62" i="12"/>
  <c r="D155" i="15"/>
  <c r="D138" i="15"/>
  <c r="D156" i="15"/>
  <c r="F56" i="18"/>
  <c r="F109" i="18" s="1"/>
  <c r="F125" i="13"/>
  <c r="E207" i="18"/>
  <c r="E139" i="18"/>
  <c r="F10" i="18"/>
  <c r="F63" i="18" s="1"/>
  <c r="F93" i="12"/>
  <c r="E257" i="20"/>
  <c r="E172" i="20"/>
  <c r="D58" i="20"/>
  <c r="D271" i="20"/>
  <c r="D221" i="20"/>
  <c r="D36" i="14"/>
  <c r="E47" i="13"/>
  <c r="G13" i="19"/>
  <c r="H77" i="12"/>
  <c r="H13" i="19" s="1"/>
  <c r="B42" i="20"/>
  <c r="B14" i="9"/>
  <c r="B15" i="9" s="1"/>
  <c r="B42" i="8"/>
  <c r="E21" i="18"/>
  <c r="E74" i="18" s="1"/>
  <c r="E104" i="12"/>
  <c r="D21" i="15"/>
  <c r="D45" i="15" s="1"/>
  <c r="E75" i="12"/>
  <c r="D15" i="15"/>
  <c r="D39" i="15" s="1"/>
  <c r="E69" i="12"/>
  <c r="J34" i="16"/>
  <c r="H55" i="18"/>
  <c r="H108" i="18" s="1"/>
  <c r="H124" i="13"/>
  <c r="I55" i="18" s="1"/>
  <c r="I108" i="18" s="1"/>
  <c r="E149" i="18"/>
  <c r="E217" i="18"/>
  <c r="D27" i="15"/>
  <c r="D51" i="15" s="1"/>
  <c r="E47" i="12"/>
  <c r="C31" i="15"/>
  <c r="C55" i="15" s="1"/>
  <c r="D85" i="12"/>
  <c r="D46" i="4"/>
  <c r="C68" i="4"/>
  <c r="H241" i="18"/>
  <c r="H176" i="18"/>
  <c r="E61" i="12"/>
  <c r="D30" i="14"/>
  <c r="D87" i="14" s="1"/>
  <c r="D139" i="14" s="1"/>
  <c r="E20" i="18"/>
  <c r="E73" i="18" s="1"/>
  <c r="E103" i="12"/>
  <c r="E46" i="18"/>
  <c r="E99" i="18" s="1"/>
  <c r="E115" i="13"/>
  <c r="C63" i="15"/>
  <c r="E141" i="15" s="1"/>
  <c r="E151" i="15"/>
  <c r="D57" i="13"/>
  <c r="C46" i="14"/>
  <c r="C103" i="14" s="1"/>
  <c r="C155" i="14" s="1"/>
  <c r="E19" i="18"/>
  <c r="E72" i="18" s="1"/>
  <c r="E102" i="12"/>
  <c r="D37" i="19"/>
  <c r="D65" i="19" s="1"/>
  <c r="E98" i="13"/>
  <c r="E150" i="15"/>
  <c r="C61" i="15"/>
  <c r="E140" i="15" s="1"/>
  <c r="C33" i="19"/>
  <c r="D94" i="13"/>
  <c r="C30" i="19"/>
  <c r="C61" i="19" s="1"/>
  <c r="D91" i="13"/>
  <c r="E29" i="18"/>
  <c r="E82" i="18" s="1"/>
  <c r="E112" i="12"/>
  <c r="E238" i="18"/>
  <c r="E170" i="18"/>
  <c r="J219" i="18"/>
  <c r="J151" i="18"/>
  <c r="E210" i="18"/>
  <c r="E142" i="18"/>
  <c r="E49" i="18"/>
  <c r="E102" i="18" s="1"/>
  <c r="E118" i="13"/>
  <c r="E70" i="13"/>
  <c r="D59" i="14"/>
  <c r="D116" i="14" s="1"/>
  <c r="D168" i="14" s="1"/>
  <c r="C44" i="14"/>
  <c r="C101" i="14" s="1"/>
  <c r="C153" i="14" s="1"/>
  <c r="D55" i="13"/>
  <c r="I219" i="18"/>
  <c r="I151" i="18"/>
  <c r="H11" i="11"/>
  <c r="F97" i="4"/>
  <c r="G60" i="11"/>
  <c r="H96" i="11"/>
  <c r="D14" i="15"/>
  <c r="D38" i="15" s="1"/>
  <c r="E68" i="12"/>
  <c r="E16" i="19"/>
  <c r="E47" i="19" s="1"/>
  <c r="F77" i="13"/>
  <c r="F38" i="18"/>
  <c r="F91" i="18" s="1"/>
  <c r="F107" i="13"/>
  <c r="E48" i="18"/>
  <c r="E101" i="18" s="1"/>
  <c r="E117" i="13"/>
  <c r="D18" i="19"/>
  <c r="D49" i="19" s="1"/>
  <c r="E79" i="13"/>
  <c r="D29" i="15"/>
  <c r="D53" i="15" s="1"/>
  <c r="E52" i="12"/>
  <c r="D21" i="14"/>
  <c r="D78" i="14" s="1"/>
  <c r="D130" i="14" s="1"/>
  <c r="E209" i="18"/>
  <c r="E141" i="18"/>
  <c r="D182" i="18"/>
  <c r="D191" i="18" s="1"/>
  <c r="D246" i="18"/>
  <c r="E48" i="7" s="1"/>
  <c r="H154" i="11"/>
  <c r="H139" i="11"/>
  <c r="H169" i="11"/>
  <c r="H34" i="11"/>
  <c r="H124" i="11"/>
  <c r="E235" i="18"/>
  <c r="E167" i="18"/>
  <c r="I154" i="11"/>
  <c r="I124" i="11"/>
  <c r="I169" i="11"/>
  <c r="I139" i="11"/>
  <c r="I34" i="11"/>
  <c r="G172" i="20"/>
  <c r="F271" i="20"/>
  <c r="F58" i="20"/>
  <c r="F221" i="20"/>
  <c r="G257" i="20"/>
  <c r="B33" i="14"/>
  <c r="E140" i="18"/>
  <c r="E208" i="18"/>
  <c r="D22" i="15"/>
  <c r="D46" i="15" s="1"/>
  <c r="E42" i="12"/>
  <c r="C271" i="20"/>
  <c r="C221" i="20"/>
  <c r="D257" i="20"/>
  <c r="D172" i="20"/>
  <c r="C58" i="20"/>
  <c r="F227" i="18"/>
  <c r="F159" i="18"/>
  <c r="E237" i="18"/>
  <c r="E169" i="18"/>
  <c r="E218" i="18"/>
  <c r="E150" i="18"/>
  <c r="E51" i="18"/>
  <c r="E104" i="18" s="1"/>
  <c r="F172" i="18" s="1"/>
  <c r="E120" i="13"/>
  <c r="G28" i="20"/>
  <c r="G28" i="8"/>
  <c r="G36" i="8" s="1"/>
  <c r="C49" i="14"/>
  <c r="C106" i="14" s="1"/>
  <c r="C158" i="14" s="1"/>
  <c r="D60" i="13"/>
  <c r="C27" i="14"/>
  <c r="C84" i="14" s="1"/>
  <c r="C136" i="14" s="1"/>
  <c r="D58" i="12"/>
  <c r="F169" i="19"/>
  <c r="F168" i="19"/>
  <c r="F154" i="19"/>
  <c r="E35" i="19"/>
  <c r="E63" i="19" s="1"/>
  <c r="F96" i="13"/>
  <c r="D25" i="15"/>
  <c r="D49" i="15" s="1"/>
  <c r="E45" i="12"/>
  <c r="D21" i="19"/>
  <c r="D52" i="19" s="1"/>
  <c r="E82" i="13"/>
  <c r="D183" i="18"/>
  <c r="D247" i="18"/>
  <c r="G96" i="11"/>
  <c r="F60" i="11"/>
  <c r="G11" i="11"/>
  <c r="E97" i="4"/>
  <c r="E43" i="18"/>
  <c r="E96" i="18" s="1"/>
  <c r="E112" i="13"/>
  <c r="C30" i="15"/>
  <c r="C54" i="15" s="1"/>
  <c r="D84" i="12"/>
  <c r="B61" i="14"/>
  <c r="G163" i="19"/>
  <c r="E67" i="19"/>
  <c r="C91" i="15"/>
  <c r="E148" i="15"/>
  <c r="C58" i="15"/>
  <c r="F35" i="18"/>
  <c r="F88" i="18" s="1"/>
  <c r="F104" i="13"/>
  <c r="J185" i="19"/>
  <c r="E70" i="12"/>
  <c r="D16" i="15"/>
  <c r="D40" i="15" s="1"/>
  <c r="D19" i="15"/>
  <c r="D43" i="15" s="1"/>
  <c r="E73" i="12"/>
  <c r="G32" i="20"/>
  <c r="G32" i="8"/>
  <c r="D26" i="15"/>
  <c r="D50" i="15" s="1"/>
  <c r="D62" i="15" s="1"/>
  <c r="E46" i="12"/>
  <c r="J204" i="14"/>
  <c r="J203" i="14"/>
  <c r="J191" i="14"/>
  <c r="G35" i="20"/>
  <c r="G35" i="8"/>
  <c r="H29" i="20"/>
  <c r="H29" i="8"/>
  <c r="F200" i="18"/>
  <c r="F132" i="18"/>
  <c r="E92" i="14"/>
  <c r="E144" i="14" s="1"/>
  <c r="M39" i="4"/>
  <c r="M40" i="4" s="1"/>
  <c r="D14" i="19"/>
  <c r="E75" i="13"/>
  <c r="F50" i="4"/>
  <c r="E57" i="14"/>
  <c r="E114" i="14" s="1"/>
  <c r="E166" i="14" s="1"/>
  <c r="F68" i="13"/>
  <c r="E121" i="13"/>
  <c r="E52" i="18"/>
  <c r="E105" i="18" s="1"/>
  <c r="F173" i="18" s="1"/>
  <c r="G42" i="14"/>
  <c r="G99" i="14" s="1"/>
  <c r="G151" i="14" s="1"/>
  <c r="H53" i="13"/>
  <c r="H42" i="14" s="1"/>
  <c r="H99" i="14" s="1"/>
  <c r="H151" i="14" s="1"/>
  <c r="D23" i="15"/>
  <c r="D47" i="15" s="1"/>
  <c r="E43" i="12"/>
  <c r="E47" i="18"/>
  <c r="E100" i="18" s="1"/>
  <c r="E116" i="13"/>
  <c r="E34" i="19"/>
  <c r="E62" i="19" s="1"/>
  <c r="F95" i="13"/>
  <c r="C47" i="14"/>
  <c r="C104" i="14" s="1"/>
  <c r="C156" i="14" s="1"/>
  <c r="D58" i="13"/>
  <c r="E96" i="11"/>
  <c r="D60" i="11"/>
  <c r="E11" i="11"/>
  <c r="C97" i="4"/>
  <c r="M63" i="4"/>
  <c r="M64" i="4" s="1"/>
  <c r="F9" i="18"/>
  <c r="F62" i="18" s="1"/>
  <c r="F92" i="12"/>
  <c r="F204" i="18"/>
  <c r="F136" i="18"/>
  <c r="B39" i="19"/>
  <c r="B42" i="19" s="1"/>
  <c r="D155" i="19" s="1"/>
  <c r="D159" i="19" s="1"/>
  <c r="E232" i="18"/>
  <c r="E164" i="18"/>
  <c r="F224" i="18"/>
  <c r="F156" i="18"/>
  <c r="F228" i="18"/>
  <c r="F160" i="18"/>
  <c r="C28" i="15"/>
  <c r="C52" i="15" s="1"/>
  <c r="C64" i="15" s="1"/>
  <c r="D51" i="12"/>
  <c r="C45" i="14"/>
  <c r="C102" i="14" s="1"/>
  <c r="C154" i="14" s="1"/>
  <c r="D56" i="13"/>
  <c r="C32" i="19"/>
  <c r="D93" i="13"/>
  <c r="E56" i="14"/>
  <c r="E113" i="14" s="1"/>
  <c r="E165" i="14" s="1"/>
  <c r="F67" i="13"/>
  <c r="E45" i="18"/>
  <c r="E98" i="18" s="1"/>
  <c r="E114" i="13"/>
  <c r="J274" i="18"/>
  <c r="D43" i="14"/>
  <c r="D100" i="14" s="1"/>
  <c r="D152" i="14" s="1"/>
  <c r="E54" i="13"/>
  <c r="F28" i="20"/>
  <c r="F36" i="20" s="1"/>
  <c r="F206" i="20" s="1"/>
  <c r="F28" i="8"/>
  <c r="F36" i="8" s="1"/>
  <c r="C22" i="19"/>
  <c r="C53" i="19" s="1"/>
  <c r="D83" i="13"/>
  <c r="E24" i="18"/>
  <c r="E77" i="18" s="1"/>
  <c r="E107" i="12"/>
  <c r="G33" i="18"/>
  <c r="G86" i="18" s="1"/>
  <c r="G102" i="13"/>
  <c r="C29" i="14"/>
  <c r="C86" i="14" s="1"/>
  <c r="C138" i="14" s="1"/>
  <c r="D60" i="12"/>
  <c r="D254" i="18"/>
  <c r="C28" i="19"/>
  <c r="C59" i="19" s="1"/>
  <c r="D89" i="13"/>
  <c r="E234" i="18"/>
  <c r="E166" i="18"/>
  <c r="C45" i="19"/>
  <c r="C95" i="15"/>
  <c r="E149" i="15"/>
  <c r="C96" i="15"/>
  <c r="C59" i="15"/>
  <c r="E139" i="15" s="1"/>
  <c r="E236" i="18"/>
  <c r="E168" i="18"/>
  <c r="D125" i="19"/>
  <c r="D142" i="19" s="1"/>
  <c r="D126" i="19"/>
  <c r="D143" i="19" s="1"/>
  <c r="F156" i="19" s="1"/>
  <c r="F164" i="19"/>
  <c r="G18" i="7" s="1"/>
  <c r="F167" i="19"/>
  <c r="D124" i="19"/>
  <c r="D141" i="19" s="1"/>
  <c r="F12" i="18"/>
  <c r="F65" i="18" s="1"/>
  <c r="F95" i="12"/>
  <c r="I52" i="4"/>
  <c r="E188" i="14"/>
  <c r="C127" i="14"/>
  <c r="C24" i="19"/>
  <c r="C55" i="19" s="1"/>
  <c r="D85" i="13"/>
  <c r="F41" i="18"/>
  <c r="F94" i="18" s="1"/>
  <c r="F110" i="13"/>
  <c r="C79" i="15"/>
  <c r="C78" i="15"/>
  <c r="E148" i="18"/>
  <c r="E216" i="18"/>
  <c r="D24" i="15"/>
  <c r="D48" i="15" s="1"/>
  <c r="D60" i="15" s="1"/>
  <c r="E44" i="12"/>
  <c r="F242" i="18"/>
  <c r="F177" i="18"/>
  <c r="F199" i="18"/>
  <c r="F131" i="18"/>
  <c r="D41" i="14"/>
  <c r="D98" i="14" s="1"/>
  <c r="D150" i="14" s="1"/>
  <c r="E52" i="13"/>
  <c r="F44" i="19"/>
  <c r="K46" i="4"/>
  <c r="K67" i="4"/>
  <c r="F34" i="18"/>
  <c r="F87" i="18" s="1"/>
  <c r="F103" i="13"/>
  <c r="F15" i="18"/>
  <c r="F68" i="18" s="1"/>
  <c r="F98" i="12"/>
  <c r="F39" i="18"/>
  <c r="F92" i="18" s="1"/>
  <c r="F108" i="13"/>
  <c r="D188" i="18"/>
  <c r="D252" i="18"/>
  <c r="C20" i="14"/>
  <c r="C77" i="14" s="1"/>
  <c r="D76" i="12"/>
  <c r="E22" i="18"/>
  <c r="E75" i="18" s="1"/>
  <c r="E105" i="12"/>
  <c r="D15" i="19"/>
  <c r="D46" i="19" s="1"/>
  <c r="E76" i="13"/>
  <c r="F201" i="18"/>
  <c r="F133" i="18"/>
  <c r="F57" i="18"/>
  <c r="F110" i="18" s="1"/>
  <c r="F126" i="13"/>
  <c r="F16" i="18"/>
  <c r="F69" i="18" s="1"/>
  <c r="F99" i="12"/>
  <c r="M41" i="4" l="1"/>
  <c r="N38" i="4" s="1"/>
  <c r="F175" i="19"/>
  <c r="F177" i="19" s="1"/>
  <c r="H9" i="7"/>
  <c r="G174" i="19" s="1"/>
  <c r="F247" i="18"/>
  <c r="F183" i="18"/>
  <c r="N50" i="4"/>
  <c r="B12" i="20"/>
  <c r="B197" i="20" s="1"/>
  <c r="B12" i="8"/>
  <c r="E35" i="7"/>
  <c r="F15" i="7"/>
  <c r="D79" i="20"/>
  <c r="F79" i="20" s="1"/>
  <c r="E79" i="20" s="1"/>
  <c r="G79" i="20" s="1"/>
  <c r="C80" i="20" s="1"/>
  <c r="F141" i="18"/>
  <c r="F209" i="18"/>
  <c r="I229" i="18"/>
  <c r="I161" i="18"/>
  <c r="E37" i="14"/>
  <c r="E94" i="14" s="1"/>
  <c r="E146" i="14" s="1"/>
  <c r="F48" i="13"/>
  <c r="G204" i="18"/>
  <c r="G136" i="18"/>
  <c r="D24" i="19"/>
  <c r="D55" i="19" s="1"/>
  <c r="E85" i="13"/>
  <c r="D28" i="19"/>
  <c r="D59" i="19" s="1"/>
  <c r="E89" i="13"/>
  <c r="D28" i="15"/>
  <c r="D52" i="15" s="1"/>
  <c r="D64" i="15" s="1"/>
  <c r="E51" i="12"/>
  <c r="G9" i="18"/>
  <c r="G62" i="18" s="1"/>
  <c r="G92" i="12"/>
  <c r="F47" i="18"/>
  <c r="F100" i="18" s="1"/>
  <c r="F116" i="13"/>
  <c r="F53" i="4"/>
  <c r="D70" i="15"/>
  <c r="D71" i="15"/>
  <c r="F150" i="15"/>
  <c r="D61" i="15"/>
  <c r="F140" i="15" s="1"/>
  <c r="F51" i="18"/>
  <c r="F104" i="18" s="1"/>
  <c r="G172" i="18" s="1"/>
  <c r="F120" i="13"/>
  <c r="G159" i="18"/>
  <c r="G227" i="18"/>
  <c r="F208" i="18"/>
  <c r="F140" i="18"/>
  <c r="J241" i="18"/>
  <c r="J176" i="18"/>
  <c r="G199" i="18"/>
  <c r="G131" i="18"/>
  <c r="G35" i="14"/>
  <c r="H46" i="13"/>
  <c r="H35" i="14" s="1"/>
  <c r="E17" i="19"/>
  <c r="E48" i="19" s="1"/>
  <c r="F78" i="13"/>
  <c r="D186" i="19"/>
  <c r="B23" i="20"/>
  <c r="B23" i="8"/>
  <c r="E53" i="7"/>
  <c r="E15" i="7"/>
  <c r="F214" i="18"/>
  <c r="F146" i="18"/>
  <c r="F23" i="18"/>
  <c r="F76" i="18" s="1"/>
  <c r="F106" i="12"/>
  <c r="E182" i="18"/>
  <c r="E191" i="18" s="1"/>
  <c r="E246" i="18"/>
  <c r="E20" i="15"/>
  <c r="E44" i="15" s="1"/>
  <c r="E18" i="14"/>
  <c r="E75" i="14" s="1"/>
  <c r="F74" i="12"/>
  <c r="D74" i="14"/>
  <c r="D126" i="14" s="1"/>
  <c r="E187" i="18"/>
  <c r="E251" i="18"/>
  <c r="D45" i="14"/>
  <c r="D102" i="14" s="1"/>
  <c r="D154" i="14" s="1"/>
  <c r="E56" i="13"/>
  <c r="F53" i="18"/>
  <c r="F106" i="18" s="1"/>
  <c r="G174" i="18" s="1"/>
  <c r="F122" i="13"/>
  <c r="E25" i="15"/>
  <c r="E49" i="15" s="1"/>
  <c r="F45" i="12"/>
  <c r="E30" i="14"/>
  <c r="E87" i="14" s="1"/>
  <c r="E139" i="14" s="1"/>
  <c r="F61" i="12"/>
  <c r="D24" i="14"/>
  <c r="D81" i="14" s="1"/>
  <c r="D133" i="14" s="1"/>
  <c r="E55" i="12"/>
  <c r="E43" i="14"/>
  <c r="E100" i="14" s="1"/>
  <c r="E152" i="14" s="1"/>
  <c r="F54" i="13"/>
  <c r="G198" i="18"/>
  <c r="G130" i="18"/>
  <c r="F236" i="18"/>
  <c r="F168" i="18"/>
  <c r="E14" i="19"/>
  <c r="F75" i="13"/>
  <c r="E16" i="15"/>
  <c r="E40" i="15" s="1"/>
  <c r="F70" i="12"/>
  <c r="F43" i="18"/>
  <c r="F96" i="18" s="1"/>
  <c r="F112" i="13"/>
  <c r="F35" i="19"/>
  <c r="F63" i="19" s="1"/>
  <c r="G96" i="13"/>
  <c r="E22" i="15"/>
  <c r="E46" i="15" s="1"/>
  <c r="F42" i="12"/>
  <c r="F16" i="19"/>
  <c r="F47" i="19" s="1"/>
  <c r="G77" i="13"/>
  <c r="F29" i="18"/>
  <c r="F82" i="18" s="1"/>
  <c r="F112" i="12"/>
  <c r="I241" i="18"/>
  <c r="I176" i="18"/>
  <c r="B271" i="20"/>
  <c r="B221" i="20"/>
  <c r="C257" i="20"/>
  <c r="C172" i="20"/>
  <c r="B58" i="20"/>
  <c r="B206" i="20"/>
  <c r="F92" i="14"/>
  <c r="F144" i="14" s="1"/>
  <c r="D22" i="14"/>
  <c r="D79" i="14" s="1"/>
  <c r="D131" i="14" s="1"/>
  <c r="E53" i="12"/>
  <c r="E58" i="14"/>
  <c r="E115" i="14" s="1"/>
  <c r="E167" i="14" s="1"/>
  <c r="F69" i="13"/>
  <c r="G37" i="18"/>
  <c r="G90" i="18" s="1"/>
  <c r="G106" i="13"/>
  <c r="F25" i="18"/>
  <c r="F78" i="18" s="1"/>
  <c r="F108" i="12"/>
  <c r="F144" i="18"/>
  <c r="F212" i="18"/>
  <c r="G13" i="18"/>
  <c r="G66" i="18" s="1"/>
  <c r="G96" i="12"/>
  <c r="E40" i="14"/>
  <c r="E97" i="14" s="1"/>
  <c r="E149" i="14" s="1"/>
  <c r="F51" i="13"/>
  <c r="F21" i="18"/>
  <c r="F74" i="18" s="1"/>
  <c r="F104" i="12"/>
  <c r="G228" i="18"/>
  <c r="G160" i="18"/>
  <c r="E254" i="18"/>
  <c r="H146" i="11"/>
  <c r="H176" i="11"/>
  <c r="H24" i="10"/>
  <c r="H161" i="11"/>
  <c r="H131" i="11"/>
  <c r="F210" i="18"/>
  <c r="F142" i="18"/>
  <c r="F38" i="14"/>
  <c r="F95" i="14" s="1"/>
  <c r="F147" i="14" s="1"/>
  <c r="G49" i="13"/>
  <c r="D31" i="19"/>
  <c r="E92" i="13"/>
  <c r="D30" i="15"/>
  <c r="D54" i="15" s="1"/>
  <c r="E84" i="12"/>
  <c r="G36" i="20"/>
  <c r="G206" i="20" s="1"/>
  <c r="G38" i="18"/>
  <c r="G91" i="18" s="1"/>
  <c r="G107" i="13"/>
  <c r="D44" i="14"/>
  <c r="D101" i="14" s="1"/>
  <c r="D153" i="14" s="1"/>
  <c r="E55" i="13"/>
  <c r="F19" i="18"/>
  <c r="F72" i="18" s="1"/>
  <c r="F102" i="12"/>
  <c r="G10" i="18"/>
  <c r="G63" i="18" s="1"/>
  <c r="G93" i="12"/>
  <c r="G34" i="18"/>
  <c r="G87" i="18" s="1"/>
  <c r="G103" i="13"/>
  <c r="E23" i="15"/>
  <c r="E47" i="15" s="1"/>
  <c r="F43" i="12"/>
  <c r="D45" i="19"/>
  <c r="H33" i="20"/>
  <c r="H33" i="8"/>
  <c r="F232" i="18"/>
  <c r="F164" i="18"/>
  <c r="D91" i="15"/>
  <c r="F148" i="15"/>
  <c r="D58" i="15"/>
  <c r="F218" i="18"/>
  <c r="F150" i="18"/>
  <c r="D46" i="14"/>
  <c r="D103" i="14" s="1"/>
  <c r="D155" i="14" s="1"/>
  <c r="E57" i="13"/>
  <c r="H44" i="19"/>
  <c r="G11" i="18"/>
  <c r="G64" i="18" s="1"/>
  <c r="G94" i="12"/>
  <c r="F42" i="18"/>
  <c r="F95" i="18" s="1"/>
  <c r="F111" i="13"/>
  <c r="D47" i="4"/>
  <c r="C13" i="9"/>
  <c r="C15" i="9" s="1"/>
  <c r="E36" i="19"/>
  <c r="E64" i="19" s="1"/>
  <c r="F97" i="13"/>
  <c r="G226" i="18"/>
  <c r="G158" i="18"/>
  <c r="C33" i="14"/>
  <c r="G202" i="18"/>
  <c r="G134" i="18"/>
  <c r="G223" i="18"/>
  <c r="G155" i="18"/>
  <c r="E180" i="14"/>
  <c r="E195" i="14"/>
  <c r="F22" i="18"/>
  <c r="F75" i="18" s="1"/>
  <c r="F105" i="12"/>
  <c r="B59" i="20"/>
  <c r="B98" i="4"/>
  <c r="C45" i="11"/>
  <c r="E24" i="15"/>
  <c r="E48" i="15" s="1"/>
  <c r="E60" i="15" s="1"/>
  <c r="F44" i="12"/>
  <c r="D29" i="14"/>
  <c r="D86" i="14" s="1"/>
  <c r="D138" i="14" s="1"/>
  <c r="E60" i="12"/>
  <c r="H32" i="20"/>
  <c r="H32" i="8"/>
  <c r="M65" i="4"/>
  <c r="N62" i="4" s="1"/>
  <c r="D95" i="15"/>
  <c r="D96" i="15"/>
  <c r="F149" i="15"/>
  <c r="D59" i="15"/>
  <c r="F139" i="15" s="1"/>
  <c r="J208" i="14"/>
  <c r="G35" i="18"/>
  <c r="G88" i="18" s="1"/>
  <c r="G104" i="13"/>
  <c r="E14" i="15"/>
  <c r="E38" i="15" s="1"/>
  <c r="F68" i="12"/>
  <c r="D30" i="19"/>
  <c r="D61" i="19" s="1"/>
  <c r="E91" i="13"/>
  <c r="G44" i="19"/>
  <c r="G56" i="18"/>
  <c r="G109" i="18" s="1"/>
  <c r="G125" i="13"/>
  <c r="G200" i="18"/>
  <c r="G132" i="18"/>
  <c r="F231" i="18"/>
  <c r="F163" i="18"/>
  <c r="D23" i="14"/>
  <c r="D80" i="14" s="1"/>
  <c r="D132" i="14" s="1"/>
  <c r="E54" i="12"/>
  <c r="E18" i="15"/>
  <c r="E42" i="15" s="1"/>
  <c r="F72" i="12"/>
  <c r="K195" i="14"/>
  <c r="L47" i="4"/>
  <c r="L45" i="4"/>
  <c r="L67" i="4" s="1"/>
  <c r="L66" i="4"/>
  <c r="G39" i="18"/>
  <c r="G92" i="18" s="1"/>
  <c r="G108" i="13"/>
  <c r="F48" i="18"/>
  <c r="F101" i="18" s="1"/>
  <c r="F117" i="13"/>
  <c r="G41" i="18"/>
  <c r="G94" i="18" s="1"/>
  <c r="G110" i="13"/>
  <c r="F188" i="14"/>
  <c r="D127" i="14"/>
  <c r="E116" i="18"/>
  <c r="D25" i="19"/>
  <c r="D56" i="19" s="1"/>
  <c r="E86" i="13"/>
  <c r="G146" i="11"/>
  <c r="G161" i="11"/>
  <c r="G24" i="10"/>
  <c r="G176" i="11"/>
  <c r="G131" i="11"/>
  <c r="G164" i="19"/>
  <c r="E126" i="19"/>
  <c r="E143" i="19" s="1"/>
  <c r="G156" i="19" s="1"/>
  <c r="G167" i="19"/>
  <c r="E125" i="19"/>
  <c r="E142" i="19" s="1"/>
  <c r="E124" i="19"/>
  <c r="E141" i="19" s="1"/>
  <c r="D96" i="11"/>
  <c r="C60" i="11"/>
  <c r="D11" i="11"/>
  <c r="B97" i="4"/>
  <c r="F217" i="18"/>
  <c r="F149" i="18"/>
  <c r="E119" i="18"/>
  <c r="E15" i="19"/>
  <c r="E46" i="19" s="1"/>
  <c r="F76" i="13"/>
  <c r="F211" i="18"/>
  <c r="F143" i="18"/>
  <c r="L46" i="4"/>
  <c r="K68" i="4"/>
  <c r="F45" i="18"/>
  <c r="F98" i="18" s="1"/>
  <c r="F114" i="13"/>
  <c r="N39" i="4"/>
  <c r="N40" i="4" s="1"/>
  <c r="N41" i="4"/>
  <c r="O38" i="4" s="1"/>
  <c r="G156" i="18"/>
  <c r="G224" i="18"/>
  <c r="F70" i="13"/>
  <c r="E59" i="14"/>
  <c r="E116" i="14" s="1"/>
  <c r="E168" i="14" s="1"/>
  <c r="E46" i="4"/>
  <c r="D68" i="4"/>
  <c r="H20" i="20"/>
  <c r="J45" i="16"/>
  <c r="J47" i="16" s="1"/>
  <c r="K52" i="7"/>
  <c r="H20" i="8"/>
  <c r="E36" i="14"/>
  <c r="F47" i="13"/>
  <c r="G177" i="18"/>
  <c r="G242" i="18"/>
  <c r="E19" i="19"/>
  <c r="E50" i="19" s="1"/>
  <c r="F80" i="13"/>
  <c r="F18" i="18"/>
  <c r="F71" i="18" s="1"/>
  <c r="F101" i="12"/>
  <c r="G14" i="18"/>
  <c r="G67" i="18" s="1"/>
  <c r="G97" i="12"/>
  <c r="D79" i="15"/>
  <c r="D78" i="15"/>
  <c r="H54" i="18"/>
  <c r="H107" i="18" s="1"/>
  <c r="H123" i="13"/>
  <c r="I54" i="18" s="1"/>
  <c r="I107" i="18" s="1"/>
  <c r="D25" i="14"/>
  <c r="D82" i="14" s="1"/>
  <c r="D134" i="14" s="1"/>
  <c r="E56" i="12"/>
  <c r="B35" i="15"/>
  <c r="D143" i="15" s="1"/>
  <c r="B12" i="15"/>
  <c r="F50" i="18"/>
  <c r="F103" i="18" s="1"/>
  <c r="F119" i="13"/>
  <c r="D183" i="14"/>
  <c r="G57" i="18"/>
  <c r="G110" i="18" s="1"/>
  <c r="G126" i="13"/>
  <c r="D22" i="19"/>
  <c r="D53" i="19" s="1"/>
  <c r="E83" i="13"/>
  <c r="E21" i="19"/>
  <c r="E52" i="19" s="1"/>
  <c r="F82" i="13"/>
  <c r="E37" i="19"/>
  <c r="E65" i="19" s="1"/>
  <c r="F98" i="13"/>
  <c r="E39" i="14"/>
  <c r="E96" i="14" s="1"/>
  <c r="E148" i="14" s="1"/>
  <c r="F50" i="13"/>
  <c r="G178" i="18"/>
  <c r="G243" i="18"/>
  <c r="D29" i="19"/>
  <c r="D60" i="19" s="1"/>
  <c r="E90" i="13"/>
  <c r="C61" i="14"/>
  <c r="G15" i="18"/>
  <c r="G68" i="18" s="1"/>
  <c r="G98" i="12"/>
  <c r="G162" i="18"/>
  <c r="G230" i="18"/>
  <c r="D20" i="14"/>
  <c r="D77" i="14" s="1"/>
  <c r="E76" i="12"/>
  <c r="H33" i="18"/>
  <c r="H86" i="18" s="1"/>
  <c r="H102" i="13"/>
  <c r="I33" i="18" s="1"/>
  <c r="I86" i="18" s="1"/>
  <c r="F49" i="18"/>
  <c r="F102" i="18" s="1"/>
  <c r="F118" i="13"/>
  <c r="D33" i="19"/>
  <c r="E94" i="13"/>
  <c r="D31" i="15"/>
  <c r="D55" i="15" s="1"/>
  <c r="E85" i="12"/>
  <c r="E15" i="15"/>
  <c r="E39" i="15" s="1"/>
  <c r="F69" i="12"/>
  <c r="D93" i="14"/>
  <c r="D145" i="14" s="1"/>
  <c r="F207" i="18"/>
  <c r="F139" i="18"/>
  <c r="G203" i="18"/>
  <c r="G135" i="18"/>
  <c r="F27" i="18"/>
  <c r="F80" i="18" s="1"/>
  <c r="F110" i="12"/>
  <c r="C32" i="15"/>
  <c r="H240" i="18"/>
  <c r="H175" i="18"/>
  <c r="M52" i="4"/>
  <c r="D27" i="19"/>
  <c r="D58" i="19" s="1"/>
  <c r="E88" i="13"/>
  <c r="F239" i="18"/>
  <c r="F171" i="18"/>
  <c r="D194" i="14"/>
  <c r="E19" i="14"/>
  <c r="E76" i="14" s="1"/>
  <c r="E128" i="14" s="1"/>
  <c r="F50" i="12"/>
  <c r="E118" i="18"/>
  <c r="F34" i="19"/>
  <c r="F62" i="19" s="1"/>
  <c r="G95" i="13"/>
  <c r="E19" i="15"/>
  <c r="E43" i="15" s="1"/>
  <c r="F73" i="12"/>
  <c r="F237" i="18"/>
  <c r="F169" i="18"/>
  <c r="D51" i="14"/>
  <c r="D108" i="14" s="1"/>
  <c r="D160" i="14" s="1"/>
  <c r="E62" i="13"/>
  <c r="E29" i="15"/>
  <c r="E53" i="15" s="1"/>
  <c r="E21" i="14"/>
  <c r="E78" i="14" s="1"/>
  <c r="E130" i="14" s="1"/>
  <c r="F52" i="12"/>
  <c r="E192" i="14"/>
  <c r="E187" i="14"/>
  <c r="C129" i="14"/>
  <c r="E181" i="14" s="1"/>
  <c r="F67" i="19"/>
  <c r="H163" i="19"/>
  <c r="G12" i="18"/>
  <c r="G65" i="18" s="1"/>
  <c r="G95" i="12"/>
  <c r="H222" i="18"/>
  <c r="H154" i="18"/>
  <c r="F56" i="14"/>
  <c r="F113" i="14" s="1"/>
  <c r="F165" i="14" s="1"/>
  <c r="G67" i="13"/>
  <c r="E26" i="15"/>
  <c r="E50" i="15" s="1"/>
  <c r="E62" i="15" s="1"/>
  <c r="F46" i="12"/>
  <c r="D27" i="14"/>
  <c r="D84" i="14" s="1"/>
  <c r="D136" i="14" s="1"/>
  <c r="E58" i="12"/>
  <c r="D65" i="15"/>
  <c r="F142" i="15" s="1"/>
  <c r="F152" i="15"/>
  <c r="F238" i="18"/>
  <c r="F170" i="18"/>
  <c r="F46" i="18"/>
  <c r="F99" i="18" s="1"/>
  <c r="F115" i="13"/>
  <c r="D144" i="15"/>
  <c r="N57" i="4"/>
  <c r="N58" i="4" s="1"/>
  <c r="D48" i="14"/>
  <c r="D105" i="14" s="1"/>
  <c r="D157" i="14" s="1"/>
  <c r="E59" i="13"/>
  <c r="D23" i="19"/>
  <c r="D54" i="19" s="1"/>
  <c r="E84" i="13"/>
  <c r="F216" i="18"/>
  <c r="F148" i="18"/>
  <c r="D26" i="19"/>
  <c r="D57" i="19" s="1"/>
  <c r="E87" i="13"/>
  <c r="F44" i="18"/>
  <c r="F97" i="18" s="1"/>
  <c r="F113" i="13"/>
  <c r="D26" i="14"/>
  <c r="D83" i="14" s="1"/>
  <c r="D135" i="14" s="1"/>
  <c r="E57" i="12"/>
  <c r="H36" i="18"/>
  <c r="H89" i="18" s="1"/>
  <c r="H105" i="13"/>
  <c r="I36" i="18" s="1"/>
  <c r="I89" i="18" s="1"/>
  <c r="D52" i="14"/>
  <c r="D109" i="14" s="1"/>
  <c r="D161" i="14" s="1"/>
  <c r="E63" i="13"/>
  <c r="E41" i="14"/>
  <c r="E98" i="14" s="1"/>
  <c r="E150" i="14" s="1"/>
  <c r="F52" i="13"/>
  <c r="G201" i="18"/>
  <c r="G133" i="18"/>
  <c r="F235" i="18"/>
  <c r="F167" i="18"/>
  <c r="E27" i="15"/>
  <c r="E51" i="15" s="1"/>
  <c r="F47" i="12"/>
  <c r="E21" i="15"/>
  <c r="E45" i="15" s="1"/>
  <c r="F75" i="12"/>
  <c r="D50" i="14"/>
  <c r="D107" i="14" s="1"/>
  <c r="D159" i="14" s="1"/>
  <c r="E61" i="13"/>
  <c r="E248" i="18"/>
  <c r="F48" i="7" s="1"/>
  <c r="E184" i="18"/>
  <c r="F233" i="18"/>
  <c r="F165" i="18"/>
  <c r="E13" i="15"/>
  <c r="F67" i="12"/>
  <c r="E17" i="15"/>
  <c r="E41" i="15" s="1"/>
  <c r="F71" i="12"/>
  <c r="H225" i="18"/>
  <c r="H157" i="18"/>
  <c r="F28" i="18"/>
  <c r="F81" i="18" s="1"/>
  <c r="F111" i="12"/>
  <c r="J229" i="18"/>
  <c r="J161" i="18"/>
  <c r="F234" i="18"/>
  <c r="F166" i="18"/>
  <c r="E138" i="15"/>
  <c r="E156" i="15"/>
  <c r="E155" i="15"/>
  <c r="B65" i="14"/>
  <c r="B10" i="14"/>
  <c r="G16" i="18"/>
  <c r="G69" i="18" s="1"/>
  <c r="G99" i="12"/>
  <c r="E255" i="18"/>
  <c r="F24" i="18"/>
  <c r="F77" i="18" s="1"/>
  <c r="F107" i="12"/>
  <c r="F52" i="18"/>
  <c r="F105" i="18" s="1"/>
  <c r="G173" i="18" s="1"/>
  <c r="F121" i="13"/>
  <c r="E18" i="19"/>
  <c r="E49" i="19" s="1"/>
  <c r="F79" i="13"/>
  <c r="G205" i="18"/>
  <c r="G137" i="18"/>
  <c r="C39" i="19"/>
  <c r="C42" i="19" s="1"/>
  <c r="E155" i="19" s="1"/>
  <c r="E159" i="19" s="1"/>
  <c r="F213" i="18"/>
  <c r="F145" i="18"/>
  <c r="D32" i="19"/>
  <c r="E93" i="13"/>
  <c r="B13" i="20"/>
  <c r="B198" i="20" s="1"/>
  <c r="D188" i="19"/>
  <c r="E40" i="7"/>
  <c r="B13" i="8"/>
  <c r="D47" i="14"/>
  <c r="D104" i="14" s="1"/>
  <c r="D156" i="14" s="1"/>
  <c r="E58" i="13"/>
  <c r="F57" i="14"/>
  <c r="F114" i="14" s="1"/>
  <c r="F166" i="14" s="1"/>
  <c r="G68" i="13"/>
  <c r="G154" i="19"/>
  <c r="G168" i="19"/>
  <c r="H18" i="7" s="1"/>
  <c r="G169" i="19"/>
  <c r="D49" i="14"/>
  <c r="D106" i="14" s="1"/>
  <c r="D158" i="14" s="1"/>
  <c r="E60" i="13"/>
  <c r="F20" i="18"/>
  <c r="F73" i="18" s="1"/>
  <c r="F118" i="18" s="1"/>
  <c r="F103" i="12"/>
  <c r="D63" i="15"/>
  <c r="F141" i="15" s="1"/>
  <c r="F151" i="15"/>
  <c r="D31" i="14"/>
  <c r="D88" i="14" s="1"/>
  <c r="D140" i="14" s="1"/>
  <c r="E62" i="12"/>
  <c r="E177" i="19"/>
  <c r="E17" i="14"/>
  <c r="F48" i="12"/>
  <c r="H35" i="20"/>
  <c r="H35" i="8"/>
  <c r="E114" i="18"/>
  <c r="F255" i="18" s="1"/>
  <c r="D28" i="14"/>
  <c r="D85" i="14" s="1"/>
  <c r="D137" i="14" s="1"/>
  <c r="E59" i="12"/>
  <c r="D37" i="15"/>
  <c r="G175" i="19" l="1"/>
  <c r="G177" i="19" s="1"/>
  <c r="I9" i="7"/>
  <c r="H174" i="19" s="1"/>
  <c r="D80" i="20"/>
  <c r="F80" i="20" s="1"/>
  <c r="E80" i="20" s="1"/>
  <c r="G80" i="20" s="1"/>
  <c r="C81" i="20" s="1"/>
  <c r="C12" i="20"/>
  <c r="C197" i="20" s="1"/>
  <c r="C12" i="8"/>
  <c r="F35" i="7"/>
  <c r="G187" i="18"/>
  <c r="G251" i="18"/>
  <c r="E261" i="18"/>
  <c r="G6" i="7"/>
  <c r="E28" i="14"/>
  <c r="E85" i="14" s="1"/>
  <c r="E137" i="14" s="1"/>
  <c r="F59" i="12"/>
  <c r="C172" i="11"/>
  <c r="C142" i="11"/>
  <c r="C127" i="11"/>
  <c r="C37" i="11"/>
  <c r="C157" i="11"/>
  <c r="F13" i="15"/>
  <c r="G67" i="12"/>
  <c r="H67" i="13"/>
  <c r="H56" i="14" s="1"/>
  <c r="H113" i="14" s="1"/>
  <c r="H165" i="14" s="1"/>
  <c r="G56" i="14"/>
  <c r="G113" i="14" s="1"/>
  <c r="G165" i="14" s="1"/>
  <c r="C12" i="15"/>
  <c r="C35" i="15"/>
  <c r="E143" i="15" s="1"/>
  <c r="E144" i="15" s="1"/>
  <c r="H15" i="18"/>
  <c r="H68" i="18" s="1"/>
  <c r="H98" i="12"/>
  <c r="I15" i="18" s="1"/>
  <c r="I68" i="18" s="1"/>
  <c r="E25" i="14"/>
  <c r="E82" i="14" s="1"/>
  <c r="E134" i="14" s="1"/>
  <c r="F56" i="12"/>
  <c r="F188" i="18"/>
  <c r="F252" i="18"/>
  <c r="H41" i="18"/>
  <c r="H94" i="18" s="1"/>
  <c r="H110" i="13"/>
  <c r="I41" i="18" s="1"/>
  <c r="I94" i="18" s="1"/>
  <c r="E23" i="14"/>
  <c r="E80" i="14" s="1"/>
  <c r="E132" i="14" s="1"/>
  <c r="F54" i="12"/>
  <c r="E30" i="19"/>
  <c r="E61" i="19" s="1"/>
  <c r="F91" i="13"/>
  <c r="G211" i="18"/>
  <c r="G143" i="18"/>
  <c r="F23" i="15"/>
  <c r="F47" i="15" s="1"/>
  <c r="G43" i="12"/>
  <c r="H134" i="18"/>
  <c r="H202" i="18"/>
  <c r="E45" i="19"/>
  <c r="E24" i="14"/>
  <c r="E81" i="14" s="1"/>
  <c r="E133" i="14" s="1"/>
  <c r="F55" i="12"/>
  <c r="D33" i="14"/>
  <c r="G20" i="18"/>
  <c r="G73" i="18" s="1"/>
  <c r="G103" i="12"/>
  <c r="G52" i="18"/>
  <c r="G105" i="18" s="1"/>
  <c r="H173" i="18" s="1"/>
  <c r="G121" i="13"/>
  <c r="E37" i="15"/>
  <c r="G44" i="18"/>
  <c r="G97" i="18" s="1"/>
  <c r="G113" i="13"/>
  <c r="B9" i="20"/>
  <c r="B194" i="20" s="1"/>
  <c r="E38" i="7"/>
  <c r="B9" i="8"/>
  <c r="G152" i="15"/>
  <c r="E65" i="15"/>
  <c r="G142" i="15" s="1"/>
  <c r="G27" i="18"/>
  <c r="G80" i="18" s="1"/>
  <c r="G110" i="12"/>
  <c r="E33" i="19"/>
  <c r="F94" i="13"/>
  <c r="H204" i="18"/>
  <c r="H136" i="18"/>
  <c r="E22" i="19"/>
  <c r="E53" i="19" s="1"/>
  <c r="F83" i="13"/>
  <c r="H162" i="18"/>
  <c r="H230" i="18"/>
  <c r="N63" i="4"/>
  <c r="N64" i="4" s="1"/>
  <c r="E194" i="14"/>
  <c r="F36" i="19"/>
  <c r="F64" i="19" s="1"/>
  <c r="G97" i="13"/>
  <c r="E95" i="15"/>
  <c r="G149" i="15"/>
  <c r="E59" i="15"/>
  <c r="G139" i="15" s="1"/>
  <c r="E96" i="15"/>
  <c r="E30" i="15"/>
  <c r="E54" i="15" s="1"/>
  <c r="F84" i="12"/>
  <c r="G16" i="19"/>
  <c r="G47" i="19" s="1"/>
  <c r="H77" i="13"/>
  <c r="H16" i="19" s="1"/>
  <c r="H47" i="19" s="1"/>
  <c r="G50" i="4"/>
  <c r="G165" i="18"/>
  <c r="G233" i="18"/>
  <c r="G216" i="18"/>
  <c r="G148" i="18"/>
  <c r="H34" i="18"/>
  <c r="H87" i="18" s="1"/>
  <c r="H103" i="13"/>
  <c r="I34" i="18" s="1"/>
  <c r="I87" i="18" s="1"/>
  <c r="G61" i="12"/>
  <c r="F30" i="14"/>
  <c r="F87" i="14" s="1"/>
  <c r="F139" i="14" s="1"/>
  <c r="F20" i="15"/>
  <c r="F44" i="15" s="1"/>
  <c r="F18" i="14"/>
  <c r="F75" i="14" s="1"/>
  <c r="G74" i="12"/>
  <c r="G47" i="18"/>
  <c r="G100" i="18" s="1"/>
  <c r="G116" i="13"/>
  <c r="C156" i="11"/>
  <c r="C126" i="11"/>
  <c r="C171" i="11"/>
  <c r="C141" i="11"/>
  <c r="C36" i="11"/>
  <c r="E49" i="14"/>
  <c r="E106" i="14" s="1"/>
  <c r="E158" i="14" s="1"/>
  <c r="F60" i="13"/>
  <c r="G24" i="18"/>
  <c r="G77" i="18" s="1"/>
  <c r="G107" i="12"/>
  <c r="E26" i="19"/>
  <c r="E57" i="19" s="1"/>
  <c r="F87" i="13"/>
  <c r="G235" i="18"/>
  <c r="G167" i="18"/>
  <c r="G49" i="18"/>
  <c r="G102" i="18" s="1"/>
  <c r="G118" i="13"/>
  <c r="E29" i="19"/>
  <c r="E60" i="19" s="1"/>
  <c r="F90" i="13"/>
  <c r="H57" i="18"/>
  <c r="H110" i="18" s="1"/>
  <c r="H126" i="13"/>
  <c r="I57" i="18" s="1"/>
  <c r="I110" i="18" s="1"/>
  <c r="I240" i="18"/>
  <c r="I175" i="18"/>
  <c r="E93" i="14"/>
  <c r="E145" i="14" s="1"/>
  <c r="G237" i="18"/>
  <c r="G169" i="18"/>
  <c r="E183" i="14"/>
  <c r="F138" i="15"/>
  <c r="F156" i="15"/>
  <c r="F155" i="15"/>
  <c r="H223" i="18"/>
  <c r="H155" i="18"/>
  <c r="E31" i="19"/>
  <c r="F92" i="13"/>
  <c r="G25" i="18"/>
  <c r="G78" i="18" s="1"/>
  <c r="G108" i="12"/>
  <c r="F22" i="15"/>
  <c r="F46" i="15" s="1"/>
  <c r="G42" i="12"/>
  <c r="F115" i="18"/>
  <c r="G188" i="14"/>
  <c r="E127" i="14"/>
  <c r="G168" i="18"/>
  <c r="G236" i="18"/>
  <c r="G48" i="13"/>
  <c r="F37" i="14"/>
  <c r="F94" i="14" s="1"/>
  <c r="F146" i="14" s="1"/>
  <c r="G214" i="18"/>
  <c r="G146" i="18"/>
  <c r="E91" i="15"/>
  <c r="G148" i="15"/>
  <c r="E58" i="15"/>
  <c r="F25" i="15"/>
  <c r="F49" i="15" s="1"/>
  <c r="G45" i="12"/>
  <c r="F17" i="19"/>
  <c r="F48" i="19" s="1"/>
  <c r="G78" i="13"/>
  <c r="H9" i="18"/>
  <c r="H62" i="18" s="1"/>
  <c r="H92" i="12"/>
  <c r="I9" i="18" s="1"/>
  <c r="I62" i="18" s="1"/>
  <c r="F14" i="15"/>
  <c r="F38" i="15" s="1"/>
  <c r="G68" i="12"/>
  <c r="F41" i="14"/>
  <c r="F98" i="14" s="1"/>
  <c r="F150" i="14" s="1"/>
  <c r="G52" i="13"/>
  <c r="H243" i="18"/>
  <c r="H178" i="18"/>
  <c r="E29" i="14"/>
  <c r="E86" i="14" s="1"/>
  <c r="E138" i="14" s="1"/>
  <c r="F60" i="12"/>
  <c r="J222" i="18"/>
  <c r="J154" i="18"/>
  <c r="H35" i="18"/>
  <c r="H88" i="18" s="1"/>
  <c r="H104" i="13"/>
  <c r="I35" i="18" s="1"/>
  <c r="I88" i="18" s="1"/>
  <c r="G42" i="18"/>
  <c r="G95" i="18" s="1"/>
  <c r="G111" i="13"/>
  <c r="H131" i="18"/>
  <c r="H199" i="18"/>
  <c r="G38" i="14"/>
  <c r="G95" i="14" s="1"/>
  <c r="G147" i="14" s="1"/>
  <c r="H49" i="13"/>
  <c r="H38" i="14" s="1"/>
  <c r="H95" i="14" s="1"/>
  <c r="H147" i="14" s="1"/>
  <c r="H37" i="18"/>
  <c r="H90" i="18" s="1"/>
  <c r="H106" i="13"/>
  <c r="I37" i="18" s="1"/>
  <c r="I90" i="18" s="1"/>
  <c r="G35" i="19"/>
  <c r="G63" i="19" s="1"/>
  <c r="H96" i="13"/>
  <c r="H35" i="19" s="1"/>
  <c r="H63" i="19" s="1"/>
  <c r="G150" i="15"/>
  <c r="E61" i="15"/>
  <c r="G140" i="15" s="1"/>
  <c r="H198" i="18"/>
  <c r="H130" i="18"/>
  <c r="J240" i="18"/>
  <c r="J175" i="18"/>
  <c r="F36" i="14"/>
  <c r="G47" i="13"/>
  <c r="G48" i="18"/>
  <c r="G101" i="18" s="1"/>
  <c r="G117" i="13"/>
  <c r="G45" i="18"/>
  <c r="G98" i="18" s="1"/>
  <c r="G114" i="13"/>
  <c r="H39" i="18"/>
  <c r="H92" i="18" s="1"/>
  <c r="H108" i="13"/>
  <c r="I39" i="18" s="1"/>
  <c r="I92" i="18" s="1"/>
  <c r="F17" i="14"/>
  <c r="G48" i="12"/>
  <c r="E27" i="19"/>
  <c r="E58" i="19" s="1"/>
  <c r="F88" i="13"/>
  <c r="E50" i="14"/>
  <c r="E107" i="14" s="1"/>
  <c r="E159" i="14" s="1"/>
  <c r="F61" i="13"/>
  <c r="F19" i="15"/>
  <c r="F43" i="15" s="1"/>
  <c r="G73" i="12"/>
  <c r="I222" i="18"/>
  <c r="I154" i="18"/>
  <c r="G50" i="18"/>
  <c r="G103" i="18" s="1"/>
  <c r="G119" i="13"/>
  <c r="H14" i="18"/>
  <c r="H67" i="18" s="1"/>
  <c r="H97" i="12"/>
  <c r="I14" i="18" s="1"/>
  <c r="I67" i="18" s="1"/>
  <c r="E25" i="19"/>
  <c r="E56" i="19" s="1"/>
  <c r="F86" i="13"/>
  <c r="H56" i="18"/>
  <c r="H109" i="18" s="1"/>
  <c r="H125" i="13"/>
  <c r="I56" i="18" s="1"/>
  <c r="I109" i="18" s="1"/>
  <c r="H156" i="18"/>
  <c r="H224" i="18"/>
  <c r="F24" i="15"/>
  <c r="F48" i="15" s="1"/>
  <c r="F60" i="15" s="1"/>
  <c r="G44" i="12"/>
  <c r="G231" i="18"/>
  <c r="G163" i="18"/>
  <c r="G19" i="18"/>
  <c r="G72" i="18" s="1"/>
  <c r="G102" i="12"/>
  <c r="H226" i="18"/>
  <c r="H158" i="18"/>
  <c r="F114" i="18"/>
  <c r="G254" i="18" s="1"/>
  <c r="G53" i="18"/>
  <c r="G106" i="18" s="1"/>
  <c r="H174" i="18" s="1"/>
  <c r="G122" i="13"/>
  <c r="H92" i="14"/>
  <c r="H144" i="14" s="1"/>
  <c r="G51" i="18"/>
  <c r="G104" i="18" s="1"/>
  <c r="H172" i="18" s="1"/>
  <c r="G120" i="13"/>
  <c r="E28" i="15"/>
  <c r="E52" i="15" s="1"/>
  <c r="E64" i="15" s="1"/>
  <c r="F51" i="12"/>
  <c r="E51" i="14"/>
  <c r="E108" i="14" s="1"/>
  <c r="E160" i="14" s="1"/>
  <c r="F62" i="13"/>
  <c r="O39" i="4"/>
  <c r="O40" i="4" s="1"/>
  <c r="E32" i="19"/>
  <c r="F93" i="13"/>
  <c r="H12" i="18"/>
  <c r="H65" i="18" s="1"/>
  <c r="H95" i="12"/>
  <c r="I12" i="18" s="1"/>
  <c r="I65" i="18" s="1"/>
  <c r="G238" i="18"/>
  <c r="G170" i="18"/>
  <c r="E44" i="4"/>
  <c r="D69" i="4"/>
  <c r="H10" i="18"/>
  <c r="H63" i="18" s="1"/>
  <c r="H93" i="12"/>
  <c r="I10" i="18" s="1"/>
  <c r="I63" i="18" s="1"/>
  <c r="G28" i="18"/>
  <c r="G81" i="18" s="1"/>
  <c r="G111" i="12"/>
  <c r="H201" i="18"/>
  <c r="H133" i="18"/>
  <c r="G234" i="18"/>
  <c r="G166" i="18"/>
  <c r="H228" i="18"/>
  <c r="H160" i="18"/>
  <c r="H16" i="18"/>
  <c r="H69" i="18" s="1"/>
  <c r="H99" i="12"/>
  <c r="I16" i="18" s="1"/>
  <c r="I69" i="18" s="1"/>
  <c r="C23" i="20"/>
  <c r="E186" i="19"/>
  <c r="E188" i="19" s="1"/>
  <c r="F53" i="7"/>
  <c r="C23" i="8"/>
  <c r="D61" i="14"/>
  <c r="F39" i="14"/>
  <c r="F96" i="14" s="1"/>
  <c r="F148" i="14" s="1"/>
  <c r="G50" i="13"/>
  <c r="G171" i="18"/>
  <c r="G239" i="18"/>
  <c r="H203" i="18"/>
  <c r="H135" i="18"/>
  <c r="L68" i="4"/>
  <c r="C59" i="20"/>
  <c r="C98" i="4"/>
  <c r="D45" i="11"/>
  <c r="H177" i="18"/>
  <c r="H242" i="18"/>
  <c r="H28" i="20"/>
  <c r="H36" i="20" s="1"/>
  <c r="H206" i="20" s="1"/>
  <c r="H28" i="8"/>
  <c r="H36" i="8" s="1"/>
  <c r="H11" i="18"/>
  <c r="H64" i="18" s="1"/>
  <c r="H94" i="12"/>
  <c r="I11" i="18" s="1"/>
  <c r="I64" i="18" s="1"/>
  <c r="G208" i="18"/>
  <c r="G140" i="18"/>
  <c r="G21" i="18"/>
  <c r="G74" i="18" s="1"/>
  <c r="G104" i="12"/>
  <c r="F58" i="14"/>
  <c r="F115" i="14" s="1"/>
  <c r="F167" i="14" s="1"/>
  <c r="G69" i="13"/>
  <c r="G43" i="18"/>
  <c r="G96" i="18" s="1"/>
  <c r="G112" i="13"/>
  <c r="F116" i="18"/>
  <c r="G23" i="18"/>
  <c r="G76" i="18" s="1"/>
  <c r="G106" i="12"/>
  <c r="G92" i="14"/>
  <c r="G144" i="14" s="1"/>
  <c r="N51" i="4"/>
  <c r="N53" i="4" s="1"/>
  <c r="G46" i="18"/>
  <c r="G99" i="18" s="1"/>
  <c r="G115" i="13"/>
  <c r="B8" i="20"/>
  <c r="B8" i="8"/>
  <c r="E37" i="7"/>
  <c r="E42" i="7" s="1"/>
  <c r="E74" i="14"/>
  <c r="E126" i="14" s="1"/>
  <c r="G217" i="18"/>
  <c r="G149" i="18"/>
  <c r="E52" i="14"/>
  <c r="E109" i="14" s="1"/>
  <c r="E161" i="14" s="1"/>
  <c r="F63" i="13"/>
  <c r="H137" i="18"/>
  <c r="H205" i="18"/>
  <c r="E23" i="19"/>
  <c r="E54" i="19" s="1"/>
  <c r="F84" i="13"/>
  <c r="H154" i="19"/>
  <c r="H169" i="19"/>
  <c r="H168" i="19"/>
  <c r="H68" i="13"/>
  <c r="H57" i="14" s="1"/>
  <c r="H114" i="14" s="1"/>
  <c r="H166" i="14" s="1"/>
  <c r="G57" i="14"/>
  <c r="G114" i="14" s="1"/>
  <c r="G166" i="14" s="1"/>
  <c r="C13" i="20"/>
  <c r="C198" i="20" s="1"/>
  <c r="C13" i="8"/>
  <c r="F40" i="7"/>
  <c r="F21" i="15"/>
  <c r="F45" i="15" s="1"/>
  <c r="G75" i="12"/>
  <c r="G34" i="19"/>
  <c r="G62" i="19" s="1"/>
  <c r="H95" i="13"/>
  <c r="H34" i="19" s="1"/>
  <c r="H62" i="19" s="1"/>
  <c r="E20" i="14"/>
  <c r="E77" i="14" s="1"/>
  <c r="F76" i="12"/>
  <c r="D154" i="15"/>
  <c r="D153" i="15"/>
  <c r="G18" i="18"/>
  <c r="G71" i="18" s="1"/>
  <c r="G119" i="18" s="1"/>
  <c r="G101" i="12"/>
  <c r="M44" i="4"/>
  <c r="L69" i="4"/>
  <c r="C65" i="14"/>
  <c r="C10" i="14"/>
  <c r="H200" i="18"/>
  <c r="H132" i="18"/>
  <c r="E44" i="14"/>
  <c r="E101" i="14" s="1"/>
  <c r="E153" i="14" s="1"/>
  <c r="F55" i="13"/>
  <c r="G210" i="18"/>
  <c r="G142" i="18"/>
  <c r="G232" i="18"/>
  <c r="G164" i="18"/>
  <c r="F119" i="18"/>
  <c r="E45" i="14"/>
  <c r="E102" i="14" s="1"/>
  <c r="E154" i="14" s="1"/>
  <c r="F56" i="13"/>
  <c r="G144" i="18"/>
  <c r="G212" i="18"/>
  <c r="D190" i="14"/>
  <c r="J225" i="18"/>
  <c r="J157" i="18"/>
  <c r="E27" i="14"/>
  <c r="E84" i="14" s="1"/>
  <c r="E136" i="14" s="1"/>
  <c r="F58" i="12"/>
  <c r="E31" i="14"/>
  <c r="E88" i="14" s="1"/>
  <c r="E140" i="14" s="1"/>
  <c r="F62" i="12"/>
  <c r="I225" i="18"/>
  <c r="I157" i="18"/>
  <c r="E48" i="14"/>
  <c r="E105" i="14" s="1"/>
  <c r="E157" i="14" s="1"/>
  <c r="F59" i="13"/>
  <c r="H164" i="19"/>
  <c r="H167" i="19"/>
  <c r="I18" i="7" s="1"/>
  <c r="F124" i="19"/>
  <c r="F141" i="19" s="1"/>
  <c r="F125" i="19"/>
  <c r="F142" i="19" s="1"/>
  <c r="F126" i="19"/>
  <c r="F143" i="19" s="1"/>
  <c r="H156" i="19" s="1"/>
  <c r="F15" i="15"/>
  <c r="F39" i="15" s="1"/>
  <c r="G69" i="12"/>
  <c r="D129" i="14"/>
  <c r="F181" i="14" s="1"/>
  <c r="F192" i="14"/>
  <c r="F187" i="14"/>
  <c r="F37" i="19"/>
  <c r="F65" i="19" s="1"/>
  <c r="G98" i="13"/>
  <c r="G207" i="18"/>
  <c r="G139" i="18"/>
  <c r="F46" i="4"/>
  <c r="E68" i="4"/>
  <c r="F248" i="18"/>
  <c r="F184" i="18"/>
  <c r="G67" i="19"/>
  <c r="I163" i="19"/>
  <c r="F40" i="14"/>
  <c r="F97" i="14" s="1"/>
  <c r="F149" i="14" s="1"/>
  <c r="G51" i="13"/>
  <c r="F16" i="15"/>
  <c r="F40" i="15" s="1"/>
  <c r="G70" i="12"/>
  <c r="G255" i="18"/>
  <c r="E28" i="19"/>
  <c r="E59" i="19" s="1"/>
  <c r="F89" i="13"/>
  <c r="F182" i="18"/>
  <c r="F191" i="18" s="1"/>
  <c r="F246" i="18"/>
  <c r="G15" i="7" s="1"/>
  <c r="F254" i="18"/>
  <c r="G141" i="18"/>
  <c r="G209" i="18"/>
  <c r="G213" i="18"/>
  <c r="G145" i="18"/>
  <c r="D32" i="15"/>
  <c r="E47" i="14"/>
  <c r="E104" i="14" s="1"/>
  <c r="E156" i="14" s="1"/>
  <c r="F58" i="13"/>
  <c r="F17" i="15"/>
  <c r="F41" i="15" s="1"/>
  <c r="G71" i="12"/>
  <c r="F27" i="15"/>
  <c r="F51" i="15" s="1"/>
  <c r="G47" i="12"/>
  <c r="F26" i="15"/>
  <c r="F50" i="15" s="1"/>
  <c r="F62" i="15" s="1"/>
  <c r="G46" i="12"/>
  <c r="F251" i="18"/>
  <c r="F187" i="18"/>
  <c r="F19" i="19"/>
  <c r="F50" i="19" s="1"/>
  <c r="G80" i="13"/>
  <c r="F15" i="19"/>
  <c r="F46" i="19" s="1"/>
  <c r="G76" i="13"/>
  <c r="F180" i="14"/>
  <c r="F195" i="14"/>
  <c r="F18" i="15"/>
  <c r="F42" i="15" s="1"/>
  <c r="G72" i="12"/>
  <c r="H67" i="19"/>
  <c r="J163" i="19"/>
  <c r="D39" i="19"/>
  <c r="D42" i="19" s="1"/>
  <c r="F155" i="19" s="1"/>
  <c r="F159" i="19" s="1"/>
  <c r="H38" i="18"/>
  <c r="H91" i="18" s="1"/>
  <c r="H107" i="13"/>
  <c r="I38" i="18" s="1"/>
  <c r="I91" i="18" s="1"/>
  <c r="E22" i="14"/>
  <c r="E79" i="14" s="1"/>
  <c r="E131" i="14" s="1"/>
  <c r="F53" i="12"/>
  <c r="G29" i="18"/>
  <c r="G82" i="18" s="1"/>
  <c r="G112" i="12"/>
  <c r="E70" i="15"/>
  <c r="E71" i="15"/>
  <c r="F43" i="14"/>
  <c r="F100" i="14" s="1"/>
  <c r="F152" i="14" s="1"/>
  <c r="G54" i="13"/>
  <c r="F18" i="19"/>
  <c r="F49" i="19" s="1"/>
  <c r="G79" i="13"/>
  <c r="E63" i="15"/>
  <c r="G141" i="15" s="1"/>
  <c r="G151" i="15"/>
  <c r="E26" i="14"/>
  <c r="E83" i="14" s="1"/>
  <c r="E135" i="14" s="1"/>
  <c r="F57" i="12"/>
  <c r="N59" i="4"/>
  <c r="O56" i="4" s="1"/>
  <c r="F29" i="15"/>
  <c r="F53" i="15" s="1"/>
  <c r="G52" i="12"/>
  <c r="F21" i="14"/>
  <c r="F78" i="14" s="1"/>
  <c r="F130" i="14" s="1"/>
  <c r="F19" i="14"/>
  <c r="F76" i="14" s="1"/>
  <c r="F128" i="14" s="1"/>
  <c r="G50" i="12"/>
  <c r="E31" i="15"/>
  <c r="E55" i="15" s="1"/>
  <c r="F85" i="12"/>
  <c r="F21" i="19"/>
  <c r="F52" i="19" s="1"/>
  <c r="G82" i="13"/>
  <c r="F59" i="14"/>
  <c r="F116" i="14" s="1"/>
  <c r="F168" i="14" s="1"/>
  <c r="G70" i="13"/>
  <c r="E78" i="15"/>
  <c r="E79" i="15"/>
  <c r="G22" i="18"/>
  <c r="G75" i="18" s="1"/>
  <c r="G105" i="12"/>
  <c r="E46" i="14"/>
  <c r="E103" i="14" s="1"/>
  <c r="E155" i="14" s="1"/>
  <c r="F57" i="13"/>
  <c r="H159" i="18"/>
  <c r="H227" i="18"/>
  <c r="H13" i="18"/>
  <c r="H66" i="18" s="1"/>
  <c r="H96" i="12"/>
  <c r="I13" i="18" s="1"/>
  <c r="I66" i="18" s="1"/>
  <c r="G218" i="18"/>
  <c r="G150" i="18"/>
  <c r="F14" i="19"/>
  <c r="G75" i="13"/>
  <c r="D261" i="18"/>
  <c r="D263" i="18" s="1"/>
  <c r="F6" i="7"/>
  <c r="E24" i="19"/>
  <c r="E55" i="19" s="1"/>
  <c r="F85" i="13"/>
  <c r="D23" i="20"/>
  <c r="F186" i="19"/>
  <c r="G53" i="7"/>
  <c r="D23" i="8"/>
  <c r="C9" i="20" l="1"/>
  <c r="C194" i="20" s="1"/>
  <c r="F38" i="7"/>
  <c r="C9" i="8"/>
  <c r="H252" i="18"/>
  <c r="H188" i="18"/>
  <c r="F261" i="18"/>
  <c r="H6" i="7"/>
  <c r="O50" i="4"/>
  <c r="D12" i="20"/>
  <c r="D197" i="20" s="1"/>
  <c r="D12" i="8"/>
  <c r="G35" i="7"/>
  <c r="B9" i="9"/>
  <c r="C31" i="10" s="1"/>
  <c r="H175" i="19"/>
  <c r="H177" i="19" s="1"/>
  <c r="J9" i="7"/>
  <c r="I174" i="19" s="1"/>
  <c r="D81" i="20"/>
  <c r="F81" i="20" s="1"/>
  <c r="E81" i="20" s="1"/>
  <c r="G81" i="20" s="1"/>
  <c r="C82" i="20" s="1"/>
  <c r="E129" i="14"/>
  <c r="G181" i="14" s="1"/>
  <c r="G192" i="14"/>
  <c r="G187" i="14"/>
  <c r="E260" i="18"/>
  <c r="E263" i="18" s="1"/>
  <c r="F45" i="14"/>
  <c r="F102" i="14" s="1"/>
  <c r="F154" i="14" s="1"/>
  <c r="G56" i="13"/>
  <c r="H43" i="18"/>
  <c r="H96" i="18" s="1"/>
  <c r="H112" i="13"/>
  <c r="I43" i="18" s="1"/>
  <c r="I96" i="18" s="1"/>
  <c r="G24" i="15"/>
  <c r="G48" i="15" s="1"/>
  <c r="G60" i="15" s="1"/>
  <c r="H44" i="12"/>
  <c r="H24" i="15" s="1"/>
  <c r="H48" i="15" s="1"/>
  <c r="H60" i="15" s="1"/>
  <c r="I228" i="18"/>
  <c r="I160" i="18"/>
  <c r="G114" i="18"/>
  <c r="F29" i="19"/>
  <c r="F60" i="19" s="1"/>
  <c r="G90" i="13"/>
  <c r="H141" i="18"/>
  <c r="H209" i="18"/>
  <c r="J204" i="18"/>
  <c r="J136" i="18"/>
  <c r="H29" i="18"/>
  <c r="H82" i="18" s="1"/>
  <c r="H112" i="12"/>
  <c r="I29" i="18" s="1"/>
  <c r="I82" i="18" s="1"/>
  <c r="H151" i="15"/>
  <c r="F63" i="15"/>
  <c r="H141" i="15" s="1"/>
  <c r="F45" i="19"/>
  <c r="O57" i="4"/>
  <c r="O58" i="4" s="1"/>
  <c r="G15" i="15"/>
  <c r="G39" i="15" s="1"/>
  <c r="H69" i="12"/>
  <c r="H15" i="15" s="1"/>
  <c r="H39" i="15" s="1"/>
  <c r="H45" i="18"/>
  <c r="H98" i="18" s="1"/>
  <c r="H114" i="13"/>
  <c r="I45" i="18" s="1"/>
  <c r="I98" i="18" s="1"/>
  <c r="D65" i="14"/>
  <c r="D10" i="14"/>
  <c r="I204" i="18"/>
  <c r="I136" i="18"/>
  <c r="G48" i="7"/>
  <c r="H140" i="18"/>
  <c r="H208" i="18"/>
  <c r="G53" i="4"/>
  <c r="G18" i="15"/>
  <c r="G42" i="15" s="1"/>
  <c r="H72" i="12"/>
  <c r="H18" i="15" s="1"/>
  <c r="H42" i="15" s="1"/>
  <c r="H152" i="15"/>
  <c r="F65" i="15"/>
  <c r="H142" i="15" s="1"/>
  <c r="B193" i="20"/>
  <c r="B200" i="20" s="1"/>
  <c r="B15" i="20"/>
  <c r="H232" i="18"/>
  <c r="H164" i="18"/>
  <c r="J201" i="18"/>
  <c r="J133" i="18"/>
  <c r="G116" i="18"/>
  <c r="G25" i="15"/>
  <c r="G49" i="15" s="1"/>
  <c r="H45" i="12"/>
  <c r="H25" i="15" s="1"/>
  <c r="H49" i="15" s="1"/>
  <c r="G180" i="14"/>
  <c r="G183" i="14" s="1"/>
  <c r="G194" i="14"/>
  <c r="G195" i="14"/>
  <c r="F30" i="15"/>
  <c r="F54" i="15" s="1"/>
  <c r="G84" i="12"/>
  <c r="G59" i="14"/>
  <c r="G116" i="14" s="1"/>
  <c r="G168" i="14" s="1"/>
  <c r="H70" i="13"/>
  <c r="H59" i="14" s="1"/>
  <c r="H116" i="14" s="1"/>
  <c r="H168" i="14" s="1"/>
  <c r="F26" i="14"/>
  <c r="F83" i="14" s="1"/>
  <c r="F135" i="14" s="1"/>
  <c r="G57" i="12"/>
  <c r="F22" i="14"/>
  <c r="F79" i="14" s="1"/>
  <c r="F131" i="14" s="1"/>
  <c r="G53" i="12"/>
  <c r="F28" i="19"/>
  <c r="F59" i="19" s="1"/>
  <c r="G89" i="13"/>
  <c r="F31" i="14"/>
  <c r="F88" i="14" s="1"/>
  <c r="F140" i="14" s="1"/>
  <c r="G62" i="12"/>
  <c r="G188" i="18"/>
  <c r="G252" i="18"/>
  <c r="H46" i="18"/>
  <c r="H99" i="18" s="1"/>
  <c r="H115" i="13"/>
  <c r="I46" i="18" s="1"/>
  <c r="I99" i="18" s="1"/>
  <c r="G58" i="14"/>
  <c r="G115" i="14" s="1"/>
  <c r="G167" i="14" s="1"/>
  <c r="H69" i="13"/>
  <c r="H58" i="14" s="1"/>
  <c r="H115" i="14" s="1"/>
  <c r="H167" i="14" s="1"/>
  <c r="N52" i="4"/>
  <c r="I201" i="18"/>
  <c r="I133" i="18"/>
  <c r="G19" i="15"/>
  <c r="G43" i="15" s="1"/>
  <c r="H73" i="12"/>
  <c r="H19" i="15" s="1"/>
  <c r="H43" i="15" s="1"/>
  <c r="H234" i="18"/>
  <c r="H166" i="18"/>
  <c r="F61" i="15"/>
  <c r="H140" i="15" s="1"/>
  <c r="H150" i="15"/>
  <c r="H49" i="18"/>
  <c r="H102" i="18" s="1"/>
  <c r="H118" i="13"/>
  <c r="I49" i="18" s="1"/>
  <c r="I102" i="18" s="1"/>
  <c r="J223" i="18"/>
  <c r="J155" i="18"/>
  <c r="G55" i="12"/>
  <c r="F24" i="14"/>
  <c r="F81" i="14" s="1"/>
  <c r="F133" i="14" s="1"/>
  <c r="F30" i="19"/>
  <c r="F61" i="19" s="1"/>
  <c r="G91" i="13"/>
  <c r="G17" i="14"/>
  <c r="H48" i="12"/>
  <c r="H17" i="14" s="1"/>
  <c r="I226" i="18"/>
  <c r="I158" i="18"/>
  <c r="H213" i="18"/>
  <c r="H145" i="18"/>
  <c r="G14" i="19"/>
  <c r="H75" i="13"/>
  <c r="H14" i="19" s="1"/>
  <c r="G21" i="15"/>
  <c r="G45" i="15" s="1"/>
  <c r="H75" i="12"/>
  <c r="H21" i="15" s="1"/>
  <c r="H45" i="15" s="1"/>
  <c r="H218" i="18"/>
  <c r="H150" i="18"/>
  <c r="F194" i="14"/>
  <c r="G17" i="15"/>
  <c r="G41" i="15" s="1"/>
  <c r="H71" i="12"/>
  <c r="H17" i="15" s="1"/>
  <c r="H41" i="15" s="1"/>
  <c r="I154" i="19"/>
  <c r="I169" i="19"/>
  <c r="I168" i="19"/>
  <c r="C153" i="11"/>
  <c r="C123" i="11"/>
  <c r="C33" i="11"/>
  <c r="C138" i="11"/>
  <c r="C168" i="11"/>
  <c r="F183" i="14"/>
  <c r="G15" i="19"/>
  <c r="G46" i="19" s="1"/>
  <c r="H76" i="13"/>
  <c r="H15" i="19" s="1"/>
  <c r="H46" i="19" s="1"/>
  <c r="F47" i="14"/>
  <c r="F104" i="14" s="1"/>
  <c r="F156" i="14" s="1"/>
  <c r="G58" i="13"/>
  <c r="M47" i="4"/>
  <c r="M45" i="4"/>
  <c r="M66" i="4"/>
  <c r="D172" i="11"/>
  <c r="D142" i="11"/>
  <c r="D127" i="11"/>
  <c r="D37" i="11"/>
  <c r="D157" i="11"/>
  <c r="H235" i="18"/>
  <c r="H167" i="18"/>
  <c r="F32" i="19"/>
  <c r="G93" i="13"/>
  <c r="G32" i="19" s="1"/>
  <c r="H53" i="18"/>
  <c r="H106" i="18" s="1"/>
  <c r="I174" i="18" s="1"/>
  <c r="H122" i="13"/>
  <c r="I53" i="18" s="1"/>
  <c r="I106" i="18" s="1"/>
  <c r="H48" i="18"/>
  <c r="H101" i="18" s="1"/>
  <c r="H117" i="13"/>
  <c r="I48" i="18" s="1"/>
  <c r="I101" i="18" s="1"/>
  <c r="H52" i="13"/>
  <c r="H41" i="14" s="1"/>
  <c r="H98" i="14" s="1"/>
  <c r="H150" i="14" s="1"/>
  <c r="G41" i="14"/>
  <c r="G98" i="14" s="1"/>
  <c r="G150" i="14" s="1"/>
  <c r="G183" i="18"/>
  <c r="G247" i="18"/>
  <c r="C8" i="20"/>
  <c r="C8" i="8"/>
  <c r="F37" i="7"/>
  <c r="H238" i="18"/>
  <c r="H170" i="18"/>
  <c r="I223" i="18"/>
  <c r="I155" i="18"/>
  <c r="F22" i="19"/>
  <c r="F53" i="19" s="1"/>
  <c r="G83" i="13"/>
  <c r="E153" i="15"/>
  <c r="E154" i="15"/>
  <c r="F28" i="14"/>
  <c r="F85" i="14" s="1"/>
  <c r="F137" i="14" s="1"/>
  <c r="G59" i="12"/>
  <c r="J177" i="18"/>
  <c r="J242" i="18"/>
  <c r="H237" i="18"/>
  <c r="H169" i="18"/>
  <c r="H42" i="18"/>
  <c r="H95" i="18" s="1"/>
  <c r="H111" i="13"/>
  <c r="I42" i="18" s="1"/>
  <c r="I95" i="18" s="1"/>
  <c r="G138" i="15"/>
  <c r="G156" i="15"/>
  <c r="G155" i="15"/>
  <c r="G22" i="15"/>
  <c r="G46" i="15" s="1"/>
  <c r="H42" i="12"/>
  <c r="H22" i="15" s="1"/>
  <c r="H46" i="15" s="1"/>
  <c r="E39" i="19"/>
  <c r="E42" i="19" s="1"/>
  <c r="G155" i="19" s="1"/>
  <c r="G159" i="19" s="1"/>
  <c r="F23" i="14"/>
  <c r="F80" i="14" s="1"/>
  <c r="F132" i="14" s="1"/>
  <c r="G54" i="12"/>
  <c r="F42" i="7"/>
  <c r="I203" i="18"/>
  <c r="I135" i="18"/>
  <c r="J202" i="18"/>
  <c r="J134" i="18"/>
  <c r="G21" i="19"/>
  <c r="G52" i="19" s="1"/>
  <c r="H82" i="13"/>
  <c r="H21" i="19" s="1"/>
  <c r="H52" i="19" s="1"/>
  <c r="F27" i="14"/>
  <c r="F84" i="14" s="1"/>
  <c r="F136" i="14" s="1"/>
  <c r="G58" i="12"/>
  <c r="H18" i="18"/>
  <c r="H71" i="18" s="1"/>
  <c r="H101" i="12"/>
  <c r="I18" i="18" s="1"/>
  <c r="I71" i="18" s="1"/>
  <c r="F52" i="14"/>
  <c r="F109" i="14" s="1"/>
  <c r="F161" i="14" s="1"/>
  <c r="G63" i="13"/>
  <c r="H21" i="18"/>
  <c r="H74" i="18" s="1"/>
  <c r="H104" i="12"/>
  <c r="I21" i="18" s="1"/>
  <c r="I74" i="18" s="1"/>
  <c r="I134" i="18"/>
  <c r="I202" i="18"/>
  <c r="J227" i="18"/>
  <c r="J159" i="18"/>
  <c r="G19" i="19"/>
  <c r="G50" i="19" s="1"/>
  <c r="H80" i="13"/>
  <c r="H19" i="19" s="1"/>
  <c r="H50" i="19" s="1"/>
  <c r="D12" i="15"/>
  <c r="D35" i="15"/>
  <c r="F143" i="15" s="1"/>
  <c r="F144" i="15" s="1"/>
  <c r="G46" i="4"/>
  <c r="F68" i="4"/>
  <c r="H207" i="18"/>
  <c r="H139" i="18"/>
  <c r="H210" i="18"/>
  <c r="H142" i="18"/>
  <c r="H28" i="18"/>
  <c r="H81" i="18" s="1"/>
  <c r="H111" i="12"/>
  <c r="I28" i="18" s="1"/>
  <c r="I81" i="18" s="1"/>
  <c r="O41" i="4"/>
  <c r="P38" i="4" s="1"/>
  <c r="G182" i="18"/>
  <c r="G191" i="18" s="1"/>
  <c r="G246" i="18"/>
  <c r="H15" i="7" s="1"/>
  <c r="I242" i="18"/>
  <c r="I177" i="18"/>
  <c r="F50" i="14"/>
  <c r="F107" i="14" s="1"/>
  <c r="F159" i="14" s="1"/>
  <c r="G61" i="13"/>
  <c r="G36" i="14"/>
  <c r="H47" i="13"/>
  <c r="H36" i="14" s="1"/>
  <c r="H231" i="18"/>
  <c r="H163" i="18"/>
  <c r="G14" i="15"/>
  <c r="G38" i="15" s="1"/>
  <c r="H68" i="12"/>
  <c r="H14" i="15" s="1"/>
  <c r="H38" i="15" s="1"/>
  <c r="H148" i="15"/>
  <c r="F58" i="15"/>
  <c r="F91" i="15"/>
  <c r="H47" i="18"/>
  <c r="H100" i="18" s="1"/>
  <c r="H116" i="13"/>
  <c r="I47" i="18" s="1"/>
  <c r="I100" i="18" s="1"/>
  <c r="H44" i="18"/>
  <c r="H97" i="18" s="1"/>
  <c r="H113" i="13"/>
  <c r="I44" i="18" s="1"/>
  <c r="I97" i="18" s="1"/>
  <c r="D156" i="11"/>
  <c r="D141" i="11"/>
  <c r="D126" i="11"/>
  <c r="D36" i="11"/>
  <c r="D171" i="11"/>
  <c r="F28" i="15"/>
  <c r="F52" i="15" s="1"/>
  <c r="F64" i="15" s="1"/>
  <c r="G51" i="12"/>
  <c r="G118" i="18"/>
  <c r="I227" i="18"/>
  <c r="I159" i="18"/>
  <c r="H165" i="18"/>
  <c r="H233" i="18"/>
  <c r="J230" i="18"/>
  <c r="J162" i="18"/>
  <c r="F260" i="18"/>
  <c r="F263" i="18" s="1"/>
  <c r="I200" i="18"/>
  <c r="I132" i="18"/>
  <c r="I137" i="18"/>
  <c r="I205" i="18"/>
  <c r="F31" i="15"/>
  <c r="F55" i="15" s="1"/>
  <c r="G85" i="12"/>
  <c r="G18" i="19"/>
  <c r="G49" i="19" s="1"/>
  <c r="H79" i="13"/>
  <c r="H18" i="19" s="1"/>
  <c r="H49" i="19" s="1"/>
  <c r="E51" i="7"/>
  <c r="E17" i="7"/>
  <c r="J224" i="18"/>
  <c r="J156" i="18"/>
  <c r="H25" i="18"/>
  <c r="H78" i="18" s="1"/>
  <c r="H108" i="12"/>
  <c r="I25" i="18" s="1"/>
  <c r="I78" i="18" s="1"/>
  <c r="E61" i="14"/>
  <c r="F26" i="19"/>
  <c r="F57" i="19" s="1"/>
  <c r="G87" i="13"/>
  <c r="H168" i="18"/>
  <c r="H236" i="18"/>
  <c r="F24" i="19"/>
  <c r="F55" i="19" s="1"/>
  <c r="G85" i="13"/>
  <c r="D13" i="20"/>
  <c r="D198" i="20" s="1"/>
  <c r="F188" i="19"/>
  <c r="D13" i="8"/>
  <c r="G40" i="7"/>
  <c r="G16" i="15"/>
  <c r="G40" i="15" s="1"/>
  <c r="H70" i="12"/>
  <c r="H16" i="15" s="1"/>
  <c r="H40" i="15" s="1"/>
  <c r="F44" i="14"/>
  <c r="F101" i="14" s="1"/>
  <c r="F153" i="14" s="1"/>
  <c r="G55" i="13"/>
  <c r="J199" i="18"/>
  <c r="J131" i="18"/>
  <c r="F51" i="14"/>
  <c r="F108" i="14" s="1"/>
  <c r="F160" i="14" s="1"/>
  <c r="G62" i="13"/>
  <c r="F27" i="19"/>
  <c r="F58" i="19" s="1"/>
  <c r="G88" i="13"/>
  <c r="I224" i="18"/>
  <c r="I156" i="18"/>
  <c r="H214" i="18"/>
  <c r="H146" i="18"/>
  <c r="G20" i="15"/>
  <c r="G44" i="15" s="1"/>
  <c r="G18" i="14"/>
  <c r="G75" i="14" s="1"/>
  <c r="H74" i="12"/>
  <c r="G36" i="19"/>
  <c r="G64" i="19" s="1"/>
  <c r="H97" i="13"/>
  <c r="H36" i="19" s="1"/>
  <c r="H64" i="19" s="1"/>
  <c r="F33" i="19"/>
  <c r="G94" i="13"/>
  <c r="G33" i="19" s="1"/>
  <c r="E32" i="15"/>
  <c r="I230" i="18"/>
  <c r="I162" i="18"/>
  <c r="G13" i="15"/>
  <c r="H67" i="12"/>
  <c r="H13" i="15" s="1"/>
  <c r="H149" i="18"/>
  <c r="H217" i="18"/>
  <c r="F25" i="19"/>
  <c r="F56" i="19" s="1"/>
  <c r="G86" i="13"/>
  <c r="F93" i="14"/>
  <c r="F145" i="14" s="1"/>
  <c r="F46" i="14"/>
  <c r="F103" i="14" s="1"/>
  <c r="F155" i="14" s="1"/>
  <c r="G57" i="13"/>
  <c r="G19" i="14"/>
  <c r="G76" i="14" s="1"/>
  <c r="G128" i="14" s="1"/>
  <c r="H50" i="12"/>
  <c r="H19" i="14" s="1"/>
  <c r="H76" i="14" s="1"/>
  <c r="H128" i="14" s="1"/>
  <c r="G43" i="14"/>
  <c r="G100" i="14" s="1"/>
  <c r="G152" i="14" s="1"/>
  <c r="H54" i="13"/>
  <c r="H43" i="14" s="1"/>
  <c r="H100" i="14" s="1"/>
  <c r="H152" i="14" s="1"/>
  <c r="F71" i="15"/>
  <c r="F70" i="15"/>
  <c r="G37" i="19"/>
  <c r="G65" i="19" s="1"/>
  <c r="H98" i="13"/>
  <c r="H37" i="19" s="1"/>
  <c r="H65" i="19" s="1"/>
  <c r="E50" i="7"/>
  <c r="E16" i="7"/>
  <c r="F20" i="14"/>
  <c r="F77" i="14" s="1"/>
  <c r="G76" i="12"/>
  <c r="E33" i="14"/>
  <c r="J200" i="18"/>
  <c r="J132" i="18"/>
  <c r="J205" i="18"/>
  <c r="J137" i="18"/>
  <c r="I131" i="18"/>
  <c r="I199" i="18"/>
  <c r="H19" i="18"/>
  <c r="H72" i="18" s="1"/>
  <c r="H114" i="18" s="1"/>
  <c r="H102" i="12"/>
  <c r="I19" i="18" s="1"/>
  <c r="I72" i="18" s="1"/>
  <c r="J203" i="18"/>
  <c r="J135" i="18"/>
  <c r="J158" i="18"/>
  <c r="J226" i="18"/>
  <c r="F31" i="19"/>
  <c r="G92" i="13"/>
  <c r="G31" i="19" s="1"/>
  <c r="H24" i="18"/>
  <c r="H77" i="18" s="1"/>
  <c r="H107" i="12"/>
  <c r="I24" i="18" s="1"/>
  <c r="I77" i="18" s="1"/>
  <c r="H188" i="14"/>
  <c r="F127" i="14"/>
  <c r="F37" i="15"/>
  <c r="G40" i="14"/>
  <c r="G97" i="14" s="1"/>
  <c r="G149" i="14" s="1"/>
  <c r="H51" i="13"/>
  <c r="H40" i="14" s="1"/>
  <c r="H97" i="14" s="1"/>
  <c r="H149" i="14" s="1"/>
  <c r="J198" i="18"/>
  <c r="I114" i="18"/>
  <c r="J130" i="18"/>
  <c r="I119" i="18"/>
  <c r="H52" i="18"/>
  <c r="H105" i="18" s="1"/>
  <c r="I173" i="18" s="1"/>
  <c r="H121" i="13"/>
  <c r="I52" i="18" s="1"/>
  <c r="I105" i="18" s="1"/>
  <c r="J173" i="18" s="1"/>
  <c r="H22" i="18"/>
  <c r="H75" i="18" s="1"/>
  <c r="H105" i="12"/>
  <c r="I22" i="18" s="1"/>
  <c r="I75" i="18" s="1"/>
  <c r="H50" i="18"/>
  <c r="H103" i="18" s="1"/>
  <c r="H119" i="13"/>
  <c r="I50" i="18" s="1"/>
  <c r="I103" i="18" s="1"/>
  <c r="F74" i="14"/>
  <c r="F126" i="14" s="1"/>
  <c r="G115" i="18"/>
  <c r="H254" i="18" s="1"/>
  <c r="F29" i="14"/>
  <c r="F86" i="14" s="1"/>
  <c r="F138" i="14" s="1"/>
  <c r="G60" i="12"/>
  <c r="I198" i="18"/>
  <c r="I130" i="18"/>
  <c r="G37" i="14"/>
  <c r="G94" i="14" s="1"/>
  <c r="G146" i="14" s="1"/>
  <c r="H48" i="13"/>
  <c r="H37" i="14" s="1"/>
  <c r="H94" i="14" s="1"/>
  <c r="H146" i="14" s="1"/>
  <c r="J243" i="18"/>
  <c r="J178" i="18"/>
  <c r="F49" i="14"/>
  <c r="F106" i="14" s="1"/>
  <c r="F158" i="14" s="1"/>
  <c r="G60" i="13"/>
  <c r="N65" i="4"/>
  <c r="O62" i="4" s="1"/>
  <c r="H216" i="18"/>
  <c r="H148" i="18"/>
  <c r="G23" i="15"/>
  <c r="G47" i="15" s="1"/>
  <c r="H23" i="15"/>
  <c r="H47" i="15" s="1"/>
  <c r="F25" i="14"/>
  <c r="F82" i="14" s="1"/>
  <c r="F134" i="14" s="1"/>
  <c r="G56" i="12"/>
  <c r="J169" i="19"/>
  <c r="J154" i="19"/>
  <c r="J168" i="19"/>
  <c r="G26" i="15"/>
  <c r="G50" i="15" s="1"/>
  <c r="G62" i="15" s="1"/>
  <c r="H46" i="12"/>
  <c r="H26" i="15" s="1"/>
  <c r="H50" i="15" s="1"/>
  <c r="H62" i="15" s="1"/>
  <c r="H23" i="18"/>
  <c r="H76" i="18" s="1"/>
  <c r="H106" i="12"/>
  <c r="I23" i="18" s="1"/>
  <c r="I76" i="18" s="1"/>
  <c r="H27" i="18"/>
  <c r="H80" i="18" s="1"/>
  <c r="H110" i="12"/>
  <c r="I27" i="18" s="1"/>
  <c r="I80" i="18" s="1"/>
  <c r="F48" i="14"/>
  <c r="F105" i="14" s="1"/>
  <c r="F157" i="14" s="1"/>
  <c r="G59" i="13"/>
  <c r="H126" i="19"/>
  <c r="H143" i="19" s="1"/>
  <c r="J156" i="19" s="1"/>
  <c r="J167" i="19"/>
  <c r="J164" i="19"/>
  <c r="K18" i="7" s="1"/>
  <c r="J175" i="19" s="1"/>
  <c r="H124" i="19"/>
  <c r="H141" i="19" s="1"/>
  <c r="H125" i="19"/>
  <c r="H142" i="19" s="1"/>
  <c r="H144" i="18"/>
  <c r="H212" i="18"/>
  <c r="I161" i="11"/>
  <c r="I131" i="11"/>
  <c r="I24" i="10"/>
  <c r="I146" i="11"/>
  <c r="I176" i="11"/>
  <c r="E47" i="4"/>
  <c r="E66" i="4"/>
  <c r="D13" i="9" s="1"/>
  <c r="D15" i="9" s="1"/>
  <c r="B22" i="20"/>
  <c r="D275" i="18"/>
  <c r="D277" i="18" s="1"/>
  <c r="B22" i="8"/>
  <c r="H211" i="18"/>
  <c r="H143" i="18"/>
  <c r="G29" i="15"/>
  <c r="G53" i="15" s="1"/>
  <c r="G21" i="14"/>
  <c r="G78" i="14" s="1"/>
  <c r="G130" i="14" s="1"/>
  <c r="H52" i="12"/>
  <c r="F78" i="15"/>
  <c r="F79" i="15"/>
  <c r="G27" i="15"/>
  <c r="G51" i="15" s="1"/>
  <c r="H47" i="12"/>
  <c r="H27" i="15" s="1"/>
  <c r="H51" i="15" s="1"/>
  <c r="E190" i="14"/>
  <c r="E189" i="14"/>
  <c r="I164" i="19"/>
  <c r="J18" i="7" s="1"/>
  <c r="G126" i="19"/>
  <c r="G143" i="19" s="1"/>
  <c r="I156" i="19" s="1"/>
  <c r="G124" i="19"/>
  <c r="G141" i="19" s="1"/>
  <c r="G125" i="19"/>
  <c r="G142" i="19" s="1"/>
  <c r="I167" i="19"/>
  <c r="F23" i="19"/>
  <c r="F54" i="19" s="1"/>
  <c r="G84" i="13"/>
  <c r="C152" i="11"/>
  <c r="C159" i="11" s="1"/>
  <c r="C122" i="11"/>
  <c r="C32" i="11"/>
  <c r="C167" i="11"/>
  <c r="C137" i="11"/>
  <c r="C144" i="11" s="1"/>
  <c r="B15" i="8"/>
  <c r="G248" i="18"/>
  <c r="G184" i="18"/>
  <c r="G39" i="14"/>
  <c r="G96" i="14" s="1"/>
  <c r="G148" i="14" s="1"/>
  <c r="H50" i="13"/>
  <c r="H39" i="14" s="1"/>
  <c r="H96" i="14" s="1"/>
  <c r="H148" i="14" s="1"/>
  <c r="H51" i="18"/>
  <c r="H104" i="18" s="1"/>
  <c r="I172" i="18" s="1"/>
  <c r="H120" i="13"/>
  <c r="I51" i="18" s="1"/>
  <c r="I104" i="18" s="1"/>
  <c r="J172" i="18" s="1"/>
  <c r="H171" i="18"/>
  <c r="H239" i="18"/>
  <c r="J228" i="18"/>
  <c r="J160" i="18"/>
  <c r="G17" i="19"/>
  <c r="G48" i="19" s="1"/>
  <c r="H78" i="13"/>
  <c r="H17" i="19" s="1"/>
  <c r="H48" i="19" s="1"/>
  <c r="I243" i="18"/>
  <c r="I178" i="18"/>
  <c r="G30" i="14"/>
  <c r="G87" i="14" s="1"/>
  <c r="G139" i="14" s="1"/>
  <c r="H61" i="12"/>
  <c r="H30" i="14" s="1"/>
  <c r="H87" i="14" s="1"/>
  <c r="H139" i="14" s="1"/>
  <c r="H20" i="18"/>
  <c r="H73" i="18" s="1"/>
  <c r="H103" i="12"/>
  <c r="I20" i="18" s="1"/>
  <c r="I73" i="18" s="1"/>
  <c r="H149" i="15"/>
  <c r="F59" i="15"/>
  <c r="H139" i="15" s="1"/>
  <c r="F95" i="15"/>
  <c r="F96" i="15"/>
  <c r="G186" i="19"/>
  <c r="E23" i="20"/>
  <c r="H53" i="7"/>
  <c r="E23" i="8"/>
  <c r="C39" i="11" l="1"/>
  <c r="C174" i="11"/>
  <c r="I246" i="18"/>
  <c r="I182" i="18"/>
  <c r="G261" i="18"/>
  <c r="I6" i="7"/>
  <c r="E12" i="20"/>
  <c r="E197" i="20" s="1"/>
  <c r="H35" i="7"/>
  <c r="E12" i="8"/>
  <c r="J177" i="19"/>
  <c r="D82" i="20"/>
  <c r="E82" i="20" s="1"/>
  <c r="G82" i="20" s="1"/>
  <c r="C83" i="20" s="1"/>
  <c r="I175" i="19"/>
  <c r="I177" i="19" s="1"/>
  <c r="K9" i="7"/>
  <c r="J174" i="19" s="1"/>
  <c r="H45" i="19"/>
  <c r="I218" i="18"/>
  <c r="I150" i="18"/>
  <c r="O51" i="4"/>
  <c r="G29" i="14"/>
  <c r="G86" i="14" s="1"/>
  <c r="G138" i="14" s="1"/>
  <c r="H60" i="12"/>
  <c r="H29" i="14" s="1"/>
  <c r="H86" i="14" s="1"/>
  <c r="H138" i="14" s="1"/>
  <c r="H37" i="15"/>
  <c r="I236" i="18"/>
  <c r="I168" i="18"/>
  <c r="J237" i="18"/>
  <c r="J169" i="18"/>
  <c r="J216" i="18"/>
  <c r="J148" i="18"/>
  <c r="G95" i="15"/>
  <c r="I149" i="15"/>
  <c r="G59" i="15"/>
  <c r="I139" i="15" s="1"/>
  <c r="G96" i="15"/>
  <c r="E65" i="14"/>
  <c r="E10" i="14"/>
  <c r="G37" i="15"/>
  <c r="H187" i="18"/>
  <c r="H251" i="18"/>
  <c r="J139" i="18"/>
  <c r="J207" i="18"/>
  <c r="C9" i="9"/>
  <c r="D31" i="10" s="1"/>
  <c r="I237" i="18"/>
  <c r="I169" i="18"/>
  <c r="G24" i="14"/>
  <c r="G81" i="14" s="1"/>
  <c r="G133" i="14" s="1"/>
  <c r="H55" i="12"/>
  <c r="H24" i="14" s="1"/>
  <c r="H81" i="14" s="1"/>
  <c r="H133" i="14" s="1"/>
  <c r="E8" i="20"/>
  <c r="E8" i="8"/>
  <c r="H37" i="7"/>
  <c r="J234" i="18"/>
  <c r="J166" i="18"/>
  <c r="J232" i="18"/>
  <c r="J164" i="18"/>
  <c r="G45" i="19"/>
  <c r="G28" i="19"/>
  <c r="G59" i="19" s="1"/>
  <c r="H89" i="13"/>
  <c r="H28" i="19" s="1"/>
  <c r="H59" i="19" s="1"/>
  <c r="I152" i="15"/>
  <c r="G65" i="15"/>
  <c r="I142" i="15" s="1"/>
  <c r="I216" i="18"/>
  <c r="I148" i="18"/>
  <c r="J211" i="18"/>
  <c r="J143" i="18"/>
  <c r="G20" i="14"/>
  <c r="G77" i="14" s="1"/>
  <c r="H76" i="12"/>
  <c r="H20" i="14" s="1"/>
  <c r="H77" i="14" s="1"/>
  <c r="H71" i="15"/>
  <c r="H70" i="15"/>
  <c r="G28" i="15"/>
  <c r="G52" i="15" s="1"/>
  <c r="G64" i="15" s="1"/>
  <c r="H51" i="12"/>
  <c r="H28" i="15" s="1"/>
  <c r="H52" i="15" s="1"/>
  <c r="H64" i="15" s="1"/>
  <c r="H138" i="15"/>
  <c r="H155" i="15"/>
  <c r="H156" i="15"/>
  <c r="F153" i="15"/>
  <c r="F154" i="15"/>
  <c r="I207" i="18"/>
  <c r="I139" i="18"/>
  <c r="G23" i="14"/>
  <c r="G80" i="14" s="1"/>
  <c r="G132" i="14" s="1"/>
  <c r="H54" i="12"/>
  <c r="H23" i="14" s="1"/>
  <c r="H80" i="14" s="1"/>
  <c r="H132" i="14" s="1"/>
  <c r="J174" i="18"/>
  <c r="M67" i="4"/>
  <c r="M46" i="4"/>
  <c r="H61" i="15"/>
  <c r="J150" i="15"/>
  <c r="H78" i="15"/>
  <c r="H79" i="15"/>
  <c r="I234" i="18"/>
  <c r="I166" i="18"/>
  <c r="I232" i="18"/>
  <c r="I164" i="18"/>
  <c r="F23" i="20"/>
  <c r="H186" i="19"/>
  <c r="F23" i="8"/>
  <c r="I53" i="7"/>
  <c r="F16" i="7"/>
  <c r="F50" i="7"/>
  <c r="D22" i="20"/>
  <c r="F275" i="18"/>
  <c r="F277" i="18" s="1"/>
  <c r="D22" i="8"/>
  <c r="I141" i="18"/>
  <c r="I209" i="18"/>
  <c r="H95" i="15"/>
  <c r="H96" i="15"/>
  <c r="J149" i="15"/>
  <c r="H59" i="15"/>
  <c r="I239" i="18"/>
  <c r="I171" i="18"/>
  <c r="I211" i="18"/>
  <c r="I143" i="18"/>
  <c r="F129" i="14"/>
  <c r="H181" i="14" s="1"/>
  <c r="H192" i="14"/>
  <c r="H187" i="14"/>
  <c r="G46" i="14"/>
  <c r="G103" i="14" s="1"/>
  <c r="G155" i="14" s="1"/>
  <c r="H57" i="13"/>
  <c r="H46" i="14" s="1"/>
  <c r="H103" i="14" s="1"/>
  <c r="H155" i="14" s="1"/>
  <c r="G71" i="15"/>
  <c r="G70" i="15"/>
  <c r="G27" i="14"/>
  <c r="G84" i="14" s="1"/>
  <c r="G136" i="14" s="1"/>
  <c r="H58" i="12"/>
  <c r="H27" i="14" s="1"/>
  <c r="H84" i="14" s="1"/>
  <c r="H136" i="14" s="1"/>
  <c r="D122" i="11"/>
  <c r="D167" i="11"/>
  <c r="D137" i="11"/>
  <c r="D152" i="11"/>
  <c r="D32" i="11"/>
  <c r="C15" i="8"/>
  <c r="N44" i="4"/>
  <c r="M69" i="4"/>
  <c r="G22" i="14"/>
  <c r="G79" i="14" s="1"/>
  <c r="G131" i="14" s="1"/>
  <c r="H53" i="12"/>
  <c r="H22" i="14" s="1"/>
  <c r="H79" i="14" s="1"/>
  <c r="H131" i="14" s="1"/>
  <c r="G61" i="15"/>
  <c r="I140" i="15" s="1"/>
  <c r="I150" i="15"/>
  <c r="G79" i="15"/>
  <c r="G78" i="15"/>
  <c r="G45" i="14"/>
  <c r="G102" i="14" s="1"/>
  <c r="G154" i="14" s="1"/>
  <c r="H56" i="13"/>
  <c r="H45" i="14" s="1"/>
  <c r="H102" i="14" s="1"/>
  <c r="H154" i="14" s="1"/>
  <c r="G260" i="18"/>
  <c r="G263" i="18" s="1"/>
  <c r="G51" i="14"/>
  <c r="G108" i="14" s="1"/>
  <c r="G160" i="14" s="1"/>
  <c r="H62" i="13"/>
  <c r="H51" i="14" s="1"/>
  <c r="H108" i="14" s="1"/>
  <c r="H160" i="14" s="1"/>
  <c r="H29" i="15"/>
  <c r="H53" i="15" s="1"/>
  <c r="H21" i="14"/>
  <c r="H78" i="14" s="1"/>
  <c r="H130" i="14" s="1"/>
  <c r="G26" i="19"/>
  <c r="G57" i="19" s="1"/>
  <c r="H87" i="13"/>
  <c r="H26" i="19" s="1"/>
  <c r="H57" i="19" s="1"/>
  <c r="J212" i="18"/>
  <c r="J144" i="18"/>
  <c r="J208" i="18"/>
  <c r="J140" i="18"/>
  <c r="J214" i="18"/>
  <c r="J146" i="18"/>
  <c r="I144" i="18"/>
  <c r="I212" i="18"/>
  <c r="O63" i="4"/>
  <c r="O64" i="4" s="1"/>
  <c r="H119" i="18"/>
  <c r="I208" i="18"/>
  <c r="I140" i="18"/>
  <c r="G27" i="19"/>
  <c r="G58" i="19" s="1"/>
  <c r="H88" i="13"/>
  <c r="H27" i="19" s="1"/>
  <c r="H58" i="19" s="1"/>
  <c r="I214" i="18"/>
  <c r="I146" i="18"/>
  <c r="G28" i="14"/>
  <c r="G85" i="14" s="1"/>
  <c r="G137" i="14" s="1"/>
  <c r="H59" i="12"/>
  <c r="H28" i="14" s="1"/>
  <c r="H85" i="14" s="1"/>
  <c r="H137" i="14" s="1"/>
  <c r="H184" i="18"/>
  <c r="H248" i="18"/>
  <c r="H255" i="18"/>
  <c r="I15" i="7" s="1"/>
  <c r="I149" i="18"/>
  <c r="I217" i="18"/>
  <c r="H56" i="12"/>
  <c r="H25" i="14" s="1"/>
  <c r="H82" i="14" s="1"/>
  <c r="H134" i="14" s="1"/>
  <c r="G25" i="14"/>
  <c r="G82" i="14" s="1"/>
  <c r="G134" i="14" s="1"/>
  <c r="H115" i="18"/>
  <c r="G44" i="14"/>
  <c r="G101" i="14" s="1"/>
  <c r="G153" i="14" s="1"/>
  <c r="H55" i="13"/>
  <c r="H44" i="14" s="1"/>
  <c r="H101" i="14" s="1"/>
  <c r="H153" i="14" s="1"/>
  <c r="H46" i="4"/>
  <c r="G68" i="4"/>
  <c r="H116" i="18"/>
  <c r="F32" i="15"/>
  <c r="D199" i="14"/>
  <c r="D201" i="14" s="1"/>
  <c r="F7" i="7"/>
  <c r="E21" i="7"/>
  <c r="E12" i="15"/>
  <c r="E35" i="15"/>
  <c r="G143" i="15" s="1"/>
  <c r="G144" i="15" s="1"/>
  <c r="P39" i="4"/>
  <c r="P40" i="4" s="1"/>
  <c r="G188" i="19"/>
  <c r="E13" i="20"/>
  <c r="E198" i="20" s="1"/>
  <c r="E13" i="8"/>
  <c r="H40" i="7"/>
  <c r="G47" i="14"/>
  <c r="G104" i="14" s="1"/>
  <c r="G156" i="14" s="1"/>
  <c r="H58" i="13"/>
  <c r="H47" i="14" s="1"/>
  <c r="H104" i="14" s="1"/>
  <c r="H156" i="14" s="1"/>
  <c r="J238" i="18"/>
  <c r="J170" i="18"/>
  <c r="C6" i="10"/>
  <c r="G49" i="14"/>
  <c r="G106" i="14" s="1"/>
  <c r="G158" i="14" s="1"/>
  <c r="H60" i="13"/>
  <c r="H49" i="14" s="1"/>
  <c r="H106" i="14" s="1"/>
  <c r="H158" i="14" s="1"/>
  <c r="H180" i="14"/>
  <c r="H183" i="14" s="1"/>
  <c r="H194" i="14"/>
  <c r="H195" i="14"/>
  <c r="E55" i="7"/>
  <c r="B25" i="9" s="1"/>
  <c r="C12" i="10" s="1"/>
  <c r="F61" i="14"/>
  <c r="E142" i="11"/>
  <c r="E157" i="11"/>
  <c r="E127" i="11"/>
  <c r="E37" i="11"/>
  <c r="E172" i="11"/>
  <c r="J217" i="18"/>
  <c r="J149" i="18"/>
  <c r="J148" i="15"/>
  <c r="H58" i="15"/>
  <c r="H91" i="15"/>
  <c r="C193" i="20"/>
  <c r="C200" i="20" s="1"/>
  <c r="C15" i="20"/>
  <c r="I170" i="18"/>
  <c r="I238" i="18"/>
  <c r="G26" i="14"/>
  <c r="G83" i="14" s="1"/>
  <c r="G135" i="14" s="1"/>
  <c r="H57" i="12"/>
  <c r="H26" i="14" s="1"/>
  <c r="H83" i="14" s="1"/>
  <c r="H135" i="14" s="1"/>
  <c r="H50" i="4"/>
  <c r="O59" i="4"/>
  <c r="P56" i="4" s="1"/>
  <c r="G29" i="19"/>
  <c r="G60" i="19" s="1"/>
  <c r="H90" i="13"/>
  <c r="H29" i="19" s="1"/>
  <c r="H60" i="19" s="1"/>
  <c r="C22" i="20"/>
  <c r="E275" i="18"/>
  <c r="E277" i="18" s="1"/>
  <c r="C22" i="8"/>
  <c r="I115" i="18"/>
  <c r="J145" i="18"/>
  <c r="J213" i="18"/>
  <c r="G25" i="19"/>
  <c r="G56" i="19" s="1"/>
  <c r="H86" i="13"/>
  <c r="H25" i="19" s="1"/>
  <c r="H56" i="19" s="1"/>
  <c r="D161" i="15"/>
  <c r="D163" i="15" s="1"/>
  <c r="F8" i="7"/>
  <c r="E160" i="15" s="1"/>
  <c r="F51" i="7"/>
  <c r="F17" i="7"/>
  <c r="J167" i="18"/>
  <c r="J235" i="18"/>
  <c r="F39" i="19"/>
  <c r="F42" i="19" s="1"/>
  <c r="H155" i="19" s="1"/>
  <c r="H159" i="19" s="1"/>
  <c r="D153" i="11"/>
  <c r="D138" i="11"/>
  <c r="D123" i="11"/>
  <c r="D168" i="11"/>
  <c r="D33" i="11"/>
  <c r="H93" i="14"/>
  <c r="H145" i="14" s="1"/>
  <c r="G22" i="19"/>
  <c r="G53" i="19" s="1"/>
  <c r="H83" i="13"/>
  <c r="H22" i="19" s="1"/>
  <c r="H53" i="19" s="1"/>
  <c r="D8" i="20"/>
  <c r="D8" i="8"/>
  <c r="G37" i="7"/>
  <c r="H74" i="14"/>
  <c r="H126" i="14" s="1"/>
  <c r="I235" i="18"/>
  <c r="I167" i="18"/>
  <c r="H246" i="18"/>
  <c r="I48" i="7" s="1"/>
  <c r="H182" i="18"/>
  <c r="H191" i="18" s="1"/>
  <c r="E156" i="11"/>
  <c r="E126" i="11"/>
  <c r="E141" i="11"/>
  <c r="E171" i="11"/>
  <c r="E36" i="11"/>
  <c r="J252" i="18"/>
  <c r="I148" i="15"/>
  <c r="G58" i="15"/>
  <c r="G91" i="15"/>
  <c r="D9" i="20"/>
  <c r="D194" i="20" s="1"/>
  <c r="G38" i="7"/>
  <c r="D9" i="8"/>
  <c r="J151" i="15"/>
  <c r="H63" i="15"/>
  <c r="J141" i="15" s="1"/>
  <c r="H247" i="18"/>
  <c r="H183" i="18"/>
  <c r="I213" i="18"/>
  <c r="I145" i="18"/>
  <c r="G24" i="19"/>
  <c r="G55" i="19" s="1"/>
  <c r="H85" i="13"/>
  <c r="H24" i="19" s="1"/>
  <c r="H55" i="19" s="1"/>
  <c r="J209" i="18"/>
  <c r="J141" i="18"/>
  <c r="C129" i="11"/>
  <c r="I151" i="15"/>
  <c r="G63" i="15"/>
  <c r="I141" i="15" s="1"/>
  <c r="F44" i="4"/>
  <c r="E69" i="4"/>
  <c r="F33" i="14"/>
  <c r="I118" i="18"/>
  <c r="H20" i="15"/>
  <c r="H44" i="15" s="1"/>
  <c r="H18" i="14"/>
  <c r="H75" i="14" s="1"/>
  <c r="J233" i="18"/>
  <c r="J165" i="18"/>
  <c r="G93" i="14"/>
  <c r="G145" i="14" s="1"/>
  <c r="J142" i="18"/>
  <c r="J210" i="18"/>
  <c r="G74" i="14"/>
  <c r="G126" i="14" s="1"/>
  <c r="G30" i="15"/>
  <c r="G54" i="15" s="1"/>
  <c r="H84" i="12"/>
  <c r="H30" i="15" s="1"/>
  <c r="H54" i="15" s="1"/>
  <c r="G127" i="14"/>
  <c r="I188" i="14"/>
  <c r="H61" i="13"/>
  <c r="H50" i="14" s="1"/>
  <c r="H107" i="14" s="1"/>
  <c r="H159" i="14" s="1"/>
  <c r="G50" i="14"/>
  <c r="G107" i="14" s="1"/>
  <c r="G159" i="14" s="1"/>
  <c r="I210" i="18"/>
  <c r="I142" i="18"/>
  <c r="G30" i="19"/>
  <c r="G61" i="19" s="1"/>
  <c r="H91" i="13"/>
  <c r="H30" i="19" s="1"/>
  <c r="H61" i="19" s="1"/>
  <c r="H48" i="7"/>
  <c r="J246" i="18"/>
  <c r="J182" i="18"/>
  <c r="I233" i="18"/>
  <c r="I165" i="18"/>
  <c r="J231" i="18"/>
  <c r="J163" i="18"/>
  <c r="G23" i="19"/>
  <c r="G54" i="19" s="1"/>
  <c r="H84" i="13"/>
  <c r="H23" i="19" s="1"/>
  <c r="H54" i="19" s="1"/>
  <c r="G48" i="14"/>
  <c r="G105" i="14" s="1"/>
  <c r="G157" i="14" s="1"/>
  <c r="H59" i="13"/>
  <c r="H48" i="14" s="1"/>
  <c r="H105" i="14" s="1"/>
  <c r="H157" i="14" s="1"/>
  <c r="H118" i="18"/>
  <c r="J239" i="18"/>
  <c r="J171" i="18"/>
  <c r="I116" i="18"/>
  <c r="G31" i="15"/>
  <c r="G55" i="15" s="1"/>
  <c r="H85" i="12"/>
  <c r="H31" i="15" s="1"/>
  <c r="H55" i="15" s="1"/>
  <c r="J236" i="18"/>
  <c r="J168" i="18"/>
  <c r="G52" i="14"/>
  <c r="G109" i="14" s="1"/>
  <c r="G161" i="14" s="1"/>
  <c r="H63" i="13"/>
  <c r="H52" i="14" s="1"/>
  <c r="H109" i="14" s="1"/>
  <c r="H161" i="14" s="1"/>
  <c r="I231" i="18"/>
  <c r="I163" i="18"/>
  <c r="G31" i="14"/>
  <c r="G88" i="14" s="1"/>
  <c r="G140" i="14" s="1"/>
  <c r="H62" i="12"/>
  <c r="H31" i="14" s="1"/>
  <c r="H88" i="14" s="1"/>
  <c r="H140" i="14" s="1"/>
  <c r="F190" i="14"/>
  <c r="F189" i="14"/>
  <c r="J218" i="18"/>
  <c r="J150" i="18"/>
  <c r="F55" i="7" l="1"/>
  <c r="C25" i="9" s="1"/>
  <c r="J139" i="15"/>
  <c r="G42" i="7"/>
  <c r="D12" i="10"/>
  <c r="D174" i="11"/>
  <c r="H261" i="18"/>
  <c r="J6" i="7"/>
  <c r="D83" i="20"/>
  <c r="E83" i="20" s="1"/>
  <c r="G83" i="20" s="1"/>
  <c r="C84" i="20" s="1"/>
  <c r="F12" i="20"/>
  <c r="F197" i="20" s="1"/>
  <c r="F12" i="8"/>
  <c r="I35" i="7"/>
  <c r="D9" i="9"/>
  <c r="E31" i="10" s="1"/>
  <c r="E9" i="20"/>
  <c r="E194" i="20" s="1"/>
  <c r="E9" i="8"/>
  <c r="H38" i="7"/>
  <c r="F167" i="11"/>
  <c r="F137" i="11"/>
  <c r="F152" i="11"/>
  <c r="F32" i="11"/>
  <c r="F122" i="11"/>
  <c r="J186" i="19"/>
  <c r="H23" i="20"/>
  <c r="H23" i="8"/>
  <c r="H33" i="14"/>
  <c r="B19" i="20"/>
  <c r="D171" i="15"/>
  <c r="D173" i="15" s="1"/>
  <c r="B19" i="8"/>
  <c r="I184" i="18"/>
  <c r="I248" i="18"/>
  <c r="O65" i="4"/>
  <c r="P62" i="4" s="1"/>
  <c r="D129" i="11"/>
  <c r="E199" i="14"/>
  <c r="G7" i="7"/>
  <c r="F21" i="7"/>
  <c r="J140" i="15"/>
  <c r="F156" i="11"/>
  <c r="F126" i="11"/>
  <c r="F171" i="11"/>
  <c r="F141" i="11"/>
  <c r="F36" i="11"/>
  <c r="P57" i="4"/>
  <c r="P58" i="4" s="1"/>
  <c r="P59" i="4"/>
  <c r="Q56" i="4" s="1"/>
  <c r="F8" i="20"/>
  <c r="F8" i="8"/>
  <c r="I37" i="7"/>
  <c r="F142" i="11"/>
  <c r="F172" i="11"/>
  <c r="F37" i="11"/>
  <c r="F157" i="11"/>
  <c r="F127" i="11"/>
  <c r="J152" i="15"/>
  <c r="H65" i="15"/>
  <c r="J142" i="15" s="1"/>
  <c r="M68" i="4"/>
  <c r="E15" i="20"/>
  <c r="E193" i="20"/>
  <c r="G32" i="15"/>
  <c r="O53" i="4"/>
  <c r="H42" i="7"/>
  <c r="I252" i="18"/>
  <c r="I188" i="18"/>
  <c r="G189" i="14"/>
  <c r="G190" i="14"/>
  <c r="I46" i="4"/>
  <c r="I68" i="4" s="1"/>
  <c r="H68" i="4"/>
  <c r="E122" i="11"/>
  <c r="E167" i="11"/>
  <c r="E152" i="11"/>
  <c r="E32" i="11"/>
  <c r="E137" i="11"/>
  <c r="D15" i="8"/>
  <c r="O52" i="4"/>
  <c r="F35" i="15"/>
  <c r="H143" i="15" s="1"/>
  <c r="H144" i="15" s="1"/>
  <c r="F12" i="15"/>
  <c r="J248" i="18"/>
  <c r="K48" i="7" s="1"/>
  <c r="J184" i="18"/>
  <c r="D59" i="20"/>
  <c r="D98" i="4"/>
  <c r="E45" i="11"/>
  <c r="H53" i="4"/>
  <c r="I251" i="18"/>
  <c r="J48" i="7" s="1"/>
  <c r="I187" i="18"/>
  <c r="I180" i="14"/>
  <c r="P41" i="4"/>
  <c r="Q38" i="4" s="1"/>
  <c r="G39" i="19"/>
  <c r="G42" i="19" s="1"/>
  <c r="I155" i="19" s="1"/>
  <c r="I159" i="19" s="1"/>
  <c r="H39" i="19"/>
  <c r="H42" i="19" s="1"/>
  <c r="J155" i="19" s="1"/>
  <c r="J159" i="19" s="1"/>
  <c r="J183" i="18"/>
  <c r="J191" i="18" s="1"/>
  <c r="J247" i="18"/>
  <c r="I183" i="18"/>
  <c r="I191" i="18" s="1"/>
  <c r="I247" i="18"/>
  <c r="J15" i="7" s="1"/>
  <c r="H129" i="14"/>
  <c r="J192" i="14"/>
  <c r="J187" i="14"/>
  <c r="H32" i="15"/>
  <c r="H260" i="18"/>
  <c r="H263" i="18" s="1"/>
  <c r="F47" i="4"/>
  <c r="F66" i="4"/>
  <c r="E13" i="9" s="1"/>
  <c r="E15" i="9" s="1"/>
  <c r="J138" i="15"/>
  <c r="J155" i="15"/>
  <c r="J156" i="15"/>
  <c r="G50" i="7"/>
  <c r="G16" i="7"/>
  <c r="G61" i="14"/>
  <c r="J188" i="18"/>
  <c r="E153" i="11"/>
  <c r="E123" i="11"/>
  <c r="E168" i="11"/>
  <c r="E138" i="11"/>
  <c r="E33" i="11"/>
  <c r="D193" i="20"/>
  <c r="D200" i="20" s="1"/>
  <c r="D15" i="20"/>
  <c r="H127" i="14"/>
  <c r="J188" i="14"/>
  <c r="F13" i="20"/>
  <c r="F198" i="20" s="1"/>
  <c r="H188" i="19"/>
  <c r="F13" i="8"/>
  <c r="I40" i="7"/>
  <c r="G129" i="14"/>
  <c r="I181" i="14" s="1"/>
  <c r="I192" i="14"/>
  <c r="I187" i="14"/>
  <c r="N45" i="4"/>
  <c r="N67" i="4" s="1"/>
  <c r="N66" i="4"/>
  <c r="G153" i="15"/>
  <c r="G154" i="15"/>
  <c r="D6" i="10"/>
  <c r="I255" i="18"/>
  <c r="J254" i="18"/>
  <c r="J255" i="18"/>
  <c r="G33" i="14"/>
  <c r="J251" i="18"/>
  <c r="J187" i="18"/>
  <c r="H61" i="14"/>
  <c r="B10" i="9"/>
  <c r="C32" i="10" s="1"/>
  <c r="E43" i="7"/>
  <c r="E45" i="7" s="1"/>
  <c r="E56" i="7" s="1"/>
  <c r="D39" i="11"/>
  <c r="I186" i="19"/>
  <c r="G23" i="20"/>
  <c r="G23" i="8"/>
  <c r="J53" i="7"/>
  <c r="E22" i="20"/>
  <c r="G275" i="18"/>
  <c r="G277" i="18" s="1"/>
  <c r="E22" i="8"/>
  <c r="F10" i="14"/>
  <c r="F65" i="14"/>
  <c r="E161" i="15"/>
  <c r="E163" i="15" s="1"/>
  <c r="G8" i="7"/>
  <c r="F160" i="15" s="1"/>
  <c r="E198" i="14"/>
  <c r="F12" i="7"/>
  <c r="D159" i="11"/>
  <c r="G51" i="7"/>
  <c r="G17" i="7"/>
  <c r="I138" i="15"/>
  <c r="I155" i="15"/>
  <c r="I156" i="15"/>
  <c r="I254" i="18"/>
  <c r="B18" i="20"/>
  <c r="B25" i="20" s="1"/>
  <c r="D209" i="14"/>
  <c r="D212" i="14" s="1"/>
  <c r="B18" i="8"/>
  <c r="B25" i="8" s="1"/>
  <c r="D144" i="11"/>
  <c r="E200" i="20" l="1"/>
  <c r="G12" i="20"/>
  <c r="G197" i="20" s="1"/>
  <c r="J35" i="7"/>
  <c r="G12" i="8"/>
  <c r="F9" i="20"/>
  <c r="F194" i="20" s="1"/>
  <c r="F9" i="8"/>
  <c r="F15" i="8" s="1"/>
  <c r="I38" i="7"/>
  <c r="I42" i="7" s="1"/>
  <c r="I261" i="18"/>
  <c r="K6" i="7"/>
  <c r="H12" i="20"/>
  <c r="H197" i="20" s="1"/>
  <c r="K35" i="7"/>
  <c r="H12" i="8"/>
  <c r="D84" i="20"/>
  <c r="E84" i="20" s="1"/>
  <c r="G84" i="20" s="1"/>
  <c r="C85" i="20" s="1"/>
  <c r="E6" i="10"/>
  <c r="N47" i="4"/>
  <c r="I50" i="4"/>
  <c r="E144" i="11"/>
  <c r="E174" i="11"/>
  <c r="F161" i="15"/>
  <c r="F163" i="15" s="1"/>
  <c r="H8" i="7"/>
  <c r="G160" i="15" s="1"/>
  <c r="E59" i="20"/>
  <c r="E98" i="4"/>
  <c r="F45" i="11"/>
  <c r="K15" i="7"/>
  <c r="E39" i="11"/>
  <c r="E9" i="9"/>
  <c r="F31" i="10" s="1"/>
  <c r="G156" i="11"/>
  <c r="G126" i="11"/>
  <c r="G171" i="11"/>
  <c r="G141" i="11"/>
  <c r="G36" i="11"/>
  <c r="G10" i="14"/>
  <c r="G65" i="14"/>
  <c r="G44" i="4"/>
  <c r="F69" i="4"/>
  <c r="J188" i="19"/>
  <c r="H13" i="20"/>
  <c r="H198" i="20" s="1"/>
  <c r="H13" i="8"/>
  <c r="K40" i="7"/>
  <c r="E159" i="11"/>
  <c r="P50" i="4"/>
  <c r="H10" i="14"/>
  <c r="H65" i="14"/>
  <c r="G13" i="20"/>
  <c r="G198" i="20" s="1"/>
  <c r="I188" i="19"/>
  <c r="J40" i="7"/>
  <c r="G13" i="8"/>
  <c r="F22" i="20"/>
  <c r="H275" i="18"/>
  <c r="H277" i="18" s="1"/>
  <c r="F22" i="8"/>
  <c r="Q39" i="4"/>
  <c r="Q40" i="4" s="1"/>
  <c r="E129" i="11"/>
  <c r="G167" i="11"/>
  <c r="G137" i="11"/>
  <c r="G122" i="11"/>
  <c r="G152" i="11"/>
  <c r="G32" i="11"/>
  <c r="C10" i="9"/>
  <c r="D32" i="10" s="1"/>
  <c r="F43" i="7"/>
  <c r="F45" i="7" s="1"/>
  <c r="F56" i="7" s="1"/>
  <c r="C24" i="9" s="1"/>
  <c r="F153" i="11"/>
  <c r="F123" i="11"/>
  <c r="F168" i="11"/>
  <c r="F174" i="11" s="1"/>
  <c r="F138" i="11"/>
  <c r="F144" i="11" s="1"/>
  <c r="F33" i="11"/>
  <c r="B202" i="20"/>
  <c r="B204" i="20" s="1"/>
  <c r="B208" i="20" s="1"/>
  <c r="B38" i="20"/>
  <c r="B40" i="20" s="1"/>
  <c r="E57" i="7"/>
  <c r="B24" i="9" s="1"/>
  <c r="H35" i="15"/>
  <c r="J143" i="15" s="1"/>
  <c r="J144" i="15" s="1"/>
  <c r="H12" i="15"/>
  <c r="I194" i="14"/>
  <c r="F198" i="14"/>
  <c r="G12" i="7"/>
  <c r="G157" i="11"/>
  <c r="G127" i="11"/>
  <c r="G37" i="11"/>
  <c r="G172" i="11"/>
  <c r="G142" i="11"/>
  <c r="I195" i="14"/>
  <c r="F193" i="20"/>
  <c r="F200" i="20" s="1"/>
  <c r="F15" i="20"/>
  <c r="E201" i="14"/>
  <c r="Q57" i="4"/>
  <c r="Q58" i="4" s="1"/>
  <c r="E15" i="8"/>
  <c r="I183" i="14"/>
  <c r="H189" i="14"/>
  <c r="H190" i="14"/>
  <c r="H153" i="15"/>
  <c r="H154" i="15"/>
  <c r="P63" i="4"/>
  <c r="P64" i="4" s="1"/>
  <c r="P65" i="4"/>
  <c r="Q62" i="4" s="1"/>
  <c r="F129" i="11"/>
  <c r="C162" i="11"/>
  <c r="C163" i="11" s="1"/>
  <c r="C164" i="11" s="1"/>
  <c r="C147" i="11"/>
  <c r="C148" i="11" s="1"/>
  <c r="C149" i="11" s="1"/>
  <c r="C23" i="10"/>
  <c r="C177" i="11"/>
  <c r="C178" i="11" s="1"/>
  <c r="C179" i="11" s="1"/>
  <c r="C41" i="11"/>
  <c r="C43" i="11" s="1"/>
  <c r="C47" i="11" s="1"/>
  <c r="C132" i="11"/>
  <c r="C133" i="11" s="1"/>
  <c r="C134" i="11" s="1"/>
  <c r="B38" i="8"/>
  <c r="B40" i="8" s="1"/>
  <c r="C19" i="20"/>
  <c r="E171" i="15"/>
  <c r="E173" i="15" s="1"/>
  <c r="C19" i="8"/>
  <c r="N46" i="4"/>
  <c r="H51" i="7"/>
  <c r="H17" i="7"/>
  <c r="F199" i="14"/>
  <c r="H7" i="7"/>
  <c r="G21" i="7"/>
  <c r="J181" i="14"/>
  <c r="G55" i="7"/>
  <c r="D25" i="9" s="1"/>
  <c r="E12" i="10" s="1"/>
  <c r="F39" i="11"/>
  <c r="I260" i="18"/>
  <c r="I263" i="18" s="1"/>
  <c r="G35" i="15"/>
  <c r="I143" i="15" s="1"/>
  <c r="I144" i="15" s="1"/>
  <c r="G12" i="15"/>
  <c r="J180" i="14"/>
  <c r="J183" i="14" s="1"/>
  <c r="J195" i="14"/>
  <c r="J194" i="14"/>
  <c r="H50" i="7"/>
  <c r="H16" i="7"/>
  <c r="F159" i="11"/>
  <c r="H9" i="20" l="1"/>
  <c r="H194" i="20" s="1"/>
  <c r="H9" i="8"/>
  <c r="H15" i="8" s="1"/>
  <c r="K38" i="7"/>
  <c r="G85" i="20"/>
  <c r="C86" i="20" s="1"/>
  <c r="D85" i="20"/>
  <c r="E85" i="20" s="1"/>
  <c r="J260" i="18"/>
  <c r="O44" i="4"/>
  <c r="N69" i="4"/>
  <c r="I51" i="7"/>
  <c r="I17" i="7"/>
  <c r="H55" i="7"/>
  <c r="E25" i="9" s="1"/>
  <c r="F12" i="10" s="1"/>
  <c r="G6" i="10"/>
  <c r="I157" i="11"/>
  <c r="I127" i="11"/>
  <c r="I172" i="11"/>
  <c r="I142" i="11"/>
  <c r="I37" i="11"/>
  <c r="G9" i="20"/>
  <c r="G194" i="20" s="1"/>
  <c r="G9" i="8"/>
  <c r="J38" i="7"/>
  <c r="I16" i="7"/>
  <c r="I50" i="7"/>
  <c r="C11" i="10"/>
  <c r="B27" i="9"/>
  <c r="C29" i="10"/>
  <c r="B47" i="20" s="1"/>
  <c r="D19" i="20"/>
  <c r="F171" i="15"/>
  <c r="F173" i="15" s="1"/>
  <c r="D19" i="8"/>
  <c r="G199" i="14"/>
  <c r="G201" i="14" s="1"/>
  <c r="I7" i="7"/>
  <c r="H21" i="7"/>
  <c r="J154" i="15"/>
  <c r="J153" i="15"/>
  <c r="D10" i="9"/>
  <c r="E32" i="10" s="1"/>
  <c r="G43" i="7"/>
  <c r="G45" i="7" s="1"/>
  <c r="G56" i="7" s="1"/>
  <c r="D24" i="9" s="1"/>
  <c r="G8" i="20"/>
  <c r="G8" i="8"/>
  <c r="J37" i="7"/>
  <c r="D11" i="2"/>
  <c r="J41" i="8"/>
  <c r="H157" i="11"/>
  <c r="H142" i="11"/>
  <c r="H172" i="11"/>
  <c r="H127" i="11"/>
  <c r="H37" i="11"/>
  <c r="G153" i="11"/>
  <c r="G159" i="11" s="1"/>
  <c r="G123" i="11"/>
  <c r="G129" i="11" s="1"/>
  <c r="G168" i="11"/>
  <c r="G174" i="11" s="1"/>
  <c r="G138" i="11"/>
  <c r="G33" i="11"/>
  <c r="G39" i="11" s="1"/>
  <c r="I189" i="14"/>
  <c r="I190" i="14"/>
  <c r="C109" i="11"/>
  <c r="C110" i="11" s="1"/>
  <c r="B45" i="8"/>
  <c r="F9" i="9"/>
  <c r="G31" i="10" s="1"/>
  <c r="F201" i="14"/>
  <c r="G144" i="11"/>
  <c r="G47" i="4"/>
  <c r="G66" i="4"/>
  <c r="F13" i="9" s="1"/>
  <c r="F15" i="9" s="1"/>
  <c r="D11" i="10"/>
  <c r="D13" i="10" s="1"/>
  <c r="D29" i="10"/>
  <c r="C27" i="9"/>
  <c r="B270" i="20"/>
  <c r="B274" i="20" s="1"/>
  <c r="B278" i="20" s="1"/>
  <c r="B280" i="20" s="1"/>
  <c r="B45" i="20"/>
  <c r="B49" i="20" s="1"/>
  <c r="H8" i="20"/>
  <c r="H8" i="8"/>
  <c r="K37" i="7"/>
  <c r="K42" i="7" s="1"/>
  <c r="G161" i="15"/>
  <c r="G163" i="15" s="1"/>
  <c r="I8" i="7"/>
  <c r="H160" i="15" s="1"/>
  <c r="Q59" i="4"/>
  <c r="I126" i="11"/>
  <c r="I171" i="11"/>
  <c r="I156" i="11"/>
  <c r="I36" i="11"/>
  <c r="I141" i="11"/>
  <c r="H126" i="11"/>
  <c r="H171" i="11"/>
  <c r="H141" i="11"/>
  <c r="H156" i="11"/>
  <c r="H36" i="11"/>
  <c r="I154" i="15"/>
  <c r="I153" i="15"/>
  <c r="N68" i="4"/>
  <c r="Q63" i="4"/>
  <c r="Q64" i="4" s="1"/>
  <c r="C18" i="20"/>
  <c r="C25" i="20" s="1"/>
  <c r="E209" i="14"/>
  <c r="E212" i="14" s="1"/>
  <c r="C18" i="8"/>
  <c r="C25" i="8" s="1"/>
  <c r="J189" i="14"/>
  <c r="J190" i="14"/>
  <c r="J261" i="18"/>
  <c r="I53" i="4"/>
  <c r="J42" i="7"/>
  <c r="Q41" i="4"/>
  <c r="P51" i="4"/>
  <c r="P53" i="4" s="1"/>
  <c r="G198" i="14"/>
  <c r="H12" i="7"/>
  <c r="F6" i="10"/>
  <c r="G22" i="20"/>
  <c r="I275" i="18"/>
  <c r="I277" i="18" s="1"/>
  <c r="G22" i="8"/>
  <c r="I55" i="7" l="1"/>
  <c r="F25" i="9" s="1"/>
  <c r="G12" i="10"/>
  <c r="Q50" i="4"/>
  <c r="H9" i="9"/>
  <c r="I137" i="11"/>
  <c r="I152" i="11"/>
  <c r="I32" i="11"/>
  <c r="I122" i="11"/>
  <c r="I167" i="11"/>
  <c r="C202" i="20"/>
  <c r="C204" i="20" s="1"/>
  <c r="C208" i="20" s="1"/>
  <c r="C38" i="20"/>
  <c r="C40" i="20" s="1"/>
  <c r="D18" i="20"/>
  <c r="D25" i="20" s="1"/>
  <c r="F209" i="14"/>
  <c r="F212" i="14" s="1"/>
  <c r="D18" i="8"/>
  <c r="D25" i="8" s="1"/>
  <c r="O45" i="4"/>
  <c r="O66" i="4"/>
  <c r="E18" i="20"/>
  <c r="G209" i="14"/>
  <c r="G212" i="14" s="1"/>
  <c r="E18" i="8"/>
  <c r="E21" i="2"/>
  <c r="C7" i="10" s="1"/>
  <c r="D12" i="2"/>
  <c r="G9" i="9"/>
  <c r="H31" i="10" s="1"/>
  <c r="Q65" i="4"/>
  <c r="H193" i="20"/>
  <c r="H200" i="20" s="1"/>
  <c r="H15" i="20"/>
  <c r="H167" i="11"/>
  <c r="H137" i="11"/>
  <c r="H152" i="11"/>
  <c r="H32" i="11"/>
  <c r="H122" i="11"/>
  <c r="G15" i="8"/>
  <c r="P52" i="4"/>
  <c r="J263" i="18"/>
  <c r="D162" i="11"/>
  <c r="D163" i="11" s="1"/>
  <c r="D164" i="11" s="1"/>
  <c r="D132" i="11"/>
  <c r="D133" i="11" s="1"/>
  <c r="D134" i="11" s="1"/>
  <c r="D41" i="11"/>
  <c r="D43" i="11" s="1"/>
  <c r="D47" i="11" s="1"/>
  <c r="D23" i="10"/>
  <c r="D177" i="11"/>
  <c r="D178" i="11" s="1"/>
  <c r="D179" i="11" s="1"/>
  <c r="D147" i="11"/>
  <c r="D148" i="11" s="1"/>
  <c r="D149" i="11" s="1"/>
  <c r="C38" i="8"/>
  <c r="C40" i="8" s="1"/>
  <c r="J51" i="7"/>
  <c r="J17" i="7"/>
  <c r="B57" i="20"/>
  <c r="B60" i="20" s="1"/>
  <c r="B61" i="20" s="1"/>
  <c r="B50" i="20" s="1"/>
  <c r="B51" i="20" s="1"/>
  <c r="K51" i="7"/>
  <c r="K17" i="7"/>
  <c r="J161" i="15" s="1"/>
  <c r="D86" i="20"/>
  <c r="E86" i="20" s="1"/>
  <c r="G86" i="20" s="1"/>
  <c r="C87" i="20" s="1"/>
  <c r="G193" i="20"/>
  <c r="G200" i="20" s="1"/>
  <c r="G15" i="20"/>
  <c r="E11" i="10"/>
  <c r="E13" i="10" s="1"/>
  <c r="D27" i="9"/>
  <c r="E29" i="10"/>
  <c r="H199" i="14"/>
  <c r="J7" i="7"/>
  <c r="I21" i="7"/>
  <c r="K50" i="7"/>
  <c r="K16" i="7"/>
  <c r="J16" i="7"/>
  <c r="J50" i="7"/>
  <c r="J55" i="7" s="1"/>
  <c r="G25" i="9" s="1"/>
  <c r="H12" i="10" s="1"/>
  <c r="H43" i="7"/>
  <c r="H45" i="7" s="1"/>
  <c r="H56" i="7" s="1"/>
  <c r="E24" i="9" s="1"/>
  <c r="E10" i="9"/>
  <c r="F32" i="10" s="1"/>
  <c r="I123" i="11"/>
  <c r="I168" i="11"/>
  <c r="I153" i="11"/>
  <c r="I138" i="11"/>
  <c r="I33" i="11"/>
  <c r="E19" i="20"/>
  <c r="G171" i="15"/>
  <c r="G173" i="15" s="1"/>
  <c r="E19" i="8"/>
  <c r="H44" i="4"/>
  <c r="G69" i="4"/>
  <c r="H198" i="14"/>
  <c r="I12" i="7"/>
  <c r="H161" i="15"/>
  <c r="H163" i="15" s="1"/>
  <c r="J8" i="7"/>
  <c r="I160" i="15" s="1"/>
  <c r="H123" i="11"/>
  <c r="H168" i="11"/>
  <c r="H138" i="11"/>
  <c r="H33" i="11"/>
  <c r="H153" i="11"/>
  <c r="H129" i="11" l="1"/>
  <c r="I31" i="10"/>
  <c r="K55" i="7"/>
  <c r="H25" i="9" s="1"/>
  <c r="I12" i="10" s="1"/>
  <c r="C256" i="20"/>
  <c r="C259" i="20" s="1"/>
  <c r="C260" i="20" s="1"/>
  <c r="C170" i="20"/>
  <c r="C175" i="20" s="1"/>
  <c r="B241" i="20"/>
  <c r="B243" i="20" s="1"/>
  <c r="B246" i="20" s="1"/>
  <c r="B219" i="20"/>
  <c r="B224" i="20" s="1"/>
  <c r="B228" i="20" s="1"/>
  <c r="B230" i="20" s="1"/>
  <c r="B234" i="20" s="1"/>
  <c r="D87" i="20"/>
  <c r="E87" i="20" s="1"/>
  <c r="G87" i="20" s="1"/>
  <c r="C88" i="20" s="1"/>
  <c r="I198" i="14"/>
  <c r="J12" i="7"/>
  <c r="D109" i="11"/>
  <c r="D110" i="11" s="1"/>
  <c r="C45" i="8"/>
  <c r="E25" i="8"/>
  <c r="I174" i="11"/>
  <c r="H201" i="14"/>
  <c r="H39" i="11"/>
  <c r="I6" i="10"/>
  <c r="H159" i="11"/>
  <c r="E25" i="20"/>
  <c r="I129" i="11"/>
  <c r="H144" i="11"/>
  <c r="I39" i="11"/>
  <c r="H174" i="11"/>
  <c r="I159" i="11"/>
  <c r="J199" i="14"/>
  <c r="K21" i="7"/>
  <c r="F19" i="20"/>
  <c r="H171" i="15"/>
  <c r="H173" i="15" s="1"/>
  <c r="F19" i="8"/>
  <c r="F11" i="10"/>
  <c r="F13" i="10" s="1"/>
  <c r="E27" i="9"/>
  <c r="F29" i="10"/>
  <c r="O67" i="4"/>
  <c r="O46" i="4"/>
  <c r="I144" i="11"/>
  <c r="O47" i="4"/>
  <c r="H47" i="4"/>
  <c r="H66" i="4"/>
  <c r="G13" i="9" s="1"/>
  <c r="G15" i="9" s="1"/>
  <c r="I199" i="14"/>
  <c r="I201" i="14" s="1"/>
  <c r="K7" i="7"/>
  <c r="J21" i="7"/>
  <c r="H22" i="20"/>
  <c r="J275" i="18"/>
  <c r="J277" i="18" s="1"/>
  <c r="H22" i="8"/>
  <c r="E162" i="11"/>
  <c r="E163" i="11" s="1"/>
  <c r="E164" i="11" s="1"/>
  <c r="E132" i="11"/>
  <c r="E133" i="11" s="1"/>
  <c r="E134" i="11" s="1"/>
  <c r="E177" i="11"/>
  <c r="E178" i="11" s="1"/>
  <c r="E179" i="11" s="1"/>
  <c r="E147" i="11"/>
  <c r="E148" i="11" s="1"/>
  <c r="E149" i="11" s="1"/>
  <c r="E41" i="11"/>
  <c r="E43" i="11" s="1"/>
  <c r="E47" i="11" s="1"/>
  <c r="D38" i="8"/>
  <c r="D40" i="8" s="1"/>
  <c r="E23" i="10"/>
  <c r="I161" i="15"/>
  <c r="I163" i="15" s="1"/>
  <c r="K8" i="7"/>
  <c r="J160" i="15" s="1"/>
  <c r="J163" i="15" s="1"/>
  <c r="Q52" i="4"/>
  <c r="D202" i="20"/>
  <c r="D204" i="20" s="1"/>
  <c r="D208" i="20" s="1"/>
  <c r="D38" i="20"/>
  <c r="D40" i="20" s="1"/>
  <c r="C83" i="11"/>
  <c r="C94" i="11"/>
  <c r="C71" i="11"/>
  <c r="D22" i="11"/>
  <c r="E20" i="2"/>
  <c r="C45" i="20"/>
  <c r="C270" i="20"/>
  <c r="Q51" i="4"/>
  <c r="F10" i="9"/>
  <c r="G32" i="10" s="1"/>
  <c r="I43" i="7"/>
  <c r="I45" i="7" s="1"/>
  <c r="I56" i="7" s="1"/>
  <c r="F24" i="9" s="1"/>
  <c r="H6" i="10"/>
  <c r="B33" i="9"/>
  <c r="D88" i="20" l="1"/>
  <c r="H19" i="20"/>
  <c r="J171" i="15"/>
  <c r="J173" i="15" s="1"/>
  <c r="H19" i="8"/>
  <c r="H25" i="8" s="1"/>
  <c r="H38" i="8" s="1"/>
  <c r="H40" i="8" s="1"/>
  <c r="H45" i="8" s="1"/>
  <c r="G18" i="20"/>
  <c r="I209" i="14"/>
  <c r="I212" i="14" s="1"/>
  <c r="G18" i="8"/>
  <c r="F162" i="11"/>
  <c r="F163" i="11" s="1"/>
  <c r="F164" i="11" s="1"/>
  <c r="F132" i="11"/>
  <c r="F133" i="11" s="1"/>
  <c r="F134" i="11" s="1"/>
  <c r="F177" i="11"/>
  <c r="F178" i="11" s="1"/>
  <c r="F179" i="11" s="1"/>
  <c r="F41" i="11"/>
  <c r="F43" i="11" s="1"/>
  <c r="F47" i="11" s="1"/>
  <c r="F23" i="10"/>
  <c r="F147" i="11"/>
  <c r="F148" i="11" s="1"/>
  <c r="F149" i="11" s="1"/>
  <c r="E38" i="8"/>
  <c r="E40" i="8" s="1"/>
  <c r="I44" i="4"/>
  <c r="H69" i="4"/>
  <c r="E38" i="20"/>
  <c r="E40" i="20" s="1"/>
  <c r="E202" i="20"/>
  <c r="E204" i="20" s="1"/>
  <c r="E208" i="20" s="1"/>
  <c r="C10" i="10"/>
  <c r="C13" i="10" s="1"/>
  <c r="D4" i="6"/>
  <c r="E22" i="2"/>
  <c r="C33" i="9"/>
  <c r="P44" i="4"/>
  <c r="O69" i="4"/>
  <c r="G11" i="10"/>
  <c r="G13" i="10" s="1"/>
  <c r="F27" i="9"/>
  <c r="G29" i="10"/>
  <c r="D45" i="20"/>
  <c r="D270" i="20"/>
  <c r="O68" i="4"/>
  <c r="F59" i="20"/>
  <c r="F98" i="4"/>
  <c r="G45" i="11"/>
  <c r="K43" i="7"/>
  <c r="K45" i="7" s="1"/>
  <c r="K56" i="7" s="1"/>
  <c r="H24" i="9" s="1"/>
  <c r="H10" i="9"/>
  <c r="I32" i="10" s="1"/>
  <c r="E109" i="11"/>
  <c r="E110" i="11" s="1"/>
  <c r="D45" i="8"/>
  <c r="Q53" i="4"/>
  <c r="F18" i="20"/>
  <c r="F25" i="20" s="1"/>
  <c r="H209" i="14"/>
  <c r="H212" i="14" s="1"/>
  <c r="F18" i="8"/>
  <c r="F25" i="8" s="1"/>
  <c r="C180" i="20"/>
  <c r="C181" i="20" s="1"/>
  <c r="E184" i="20" s="1"/>
  <c r="C176" i="20"/>
  <c r="G19" i="20"/>
  <c r="I171" i="15"/>
  <c r="I173" i="15" s="1"/>
  <c r="G19" i="8"/>
  <c r="G10" i="9"/>
  <c r="H32" i="10" s="1"/>
  <c r="J43" i="7"/>
  <c r="J45" i="7" s="1"/>
  <c r="J56" i="7" s="1"/>
  <c r="G24" i="9" s="1"/>
  <c r="J198" i="14"/>
  <c r="J201" i="14" s="1"/>
  <c r="K12" i="7"/>
  <c r="G25" i="8" l="1"/>
  <c r="H18" i="20"/>
  <c r="H25" i="20" s="1"/>
  <c r="J209" i="14"/>
  <c r="J212" i="14" s="1"/>
  <c r="H18" i="8"/>
  <c r="H132" i="11"/>
  <c r="H133" i="11" s="1"/>
  <c r="H134" i="11" s="1"/>
  <c r="H177" i="11"/>
  <c r="H178" i="11" s="1"/>
  <c r="H179" i="11" s="1"/>
  <c r="H41" i="11"/>
  <c r="H43" i="11" s="1"/>
  <c r="H162" i="11"/>
  <c r="H163" i="11" s="1"/>
  <c r="H164" i="11" s="1"/>
  <c r="H147" i="11"/>
  <c r="H148" i="11" s="1"/>
  <c r="H149" i="11" s="1"/>
  <c r="G38" i="8"/>
  <c r="G40" i="8" s="1"/>
  <c r="H23" i="10"/>
  <c r="G132" i="11"/>
  <c r="G133" i="11" s="1"/>
  <c r="G134" i="11" s="1"/>
  <c r="G177" i="11"/>
  <c r="G178" i="11" s="1"/>
  <c r="G179" i="11" s="1"/>
  <c r="G147" i="11"/>
  <c r="G148" i="11" s="1"/>
  <c r="G149" i="11" s="1"/>
  <c r="G41" i="11"/>
  <c r="G43" i="11" s="1"/>
  <c r="G47" i="11" s="1"/>
  <c r="G162" i="11"/>
  <c r="G163" i="11" s="1"/>
  <c r="G164" i="11" s="1"/>
  <c r="F38" i="8"/>
  <c r="F40" i="8" s="1"/>
  <c r="G23" i="10"/>
  <c r="E270" i="20"/>
  <c r="E45" i="20"/>
  <c r="F202" i="20"/>
  <c r="F204" i="20" s="1"/>
  <c r="F208" i="20" s="1"/>
  <c r="F38" i="20"/>
  <c r="F40" i="20" s="1"/>
  <c r="G25" i="20"/>
  <c r="G27" i="9"/>
  <c r="G31" i="9" s="1"/>
  <c r="H29" i="10"/>
  <c r="H11" i="10"/>
  <c r="H13" i="10" s="1"/>
  <c r="I47" i="4"/>
  <c r="I69" i="4" s="1"/>
  <c r="I66" i="4"/>
  <c r="H13" i="9" s="1"/>
  <c r="H15" i="9" s="1"/>
  <c r="F109" i="11"/>
  <c r="F110" i="11" s="1"/>
  <c r="E45" i="8"/>
  <c r="D8" i="6"/>
  <c r="C10" i="6"/>
  <c r="P47" i="4"/>
  <c r="P45" i="4"/>
  <c r="P66" i="4"/>
  <c r="D33" i="9"/>
  <c r="C273" i="20"/>
  <c r="C274" i="20" s="1"/>
  <c r="C278" i="20" s="1"/>
  <c r="E88" i="20"/>
  <c r="G88" i="20" s="1"/>
  <c r="C89" i="20" s="1"/>
  <c r="C47" i="20"/>
  <c r="C49" i="20" s="1"/>
  <c r="H27" i="9"/>
  <c r="H31" i="9" s="1"/>
  <c r="I29" i="10"/>
  <c r="I11" i="10"/>
  <c r="I13" i="10" s="1"/>
  <c r="C15" i="11"/>
  <c r="F77" i="5"/>
  <c r="F78" i="5" s="1"/>
  <c r="H109" i="11" l="1"/>
  <c r="H110" i="11" s="1"/>
  <c r="G45" i="8"/>
  <c r="E33" i="9"/>
  <c r="G109" i="11"/>
  <c r="G110" i="11" s="1"/>
  <c r="F45" i="8"/>
  <c r="F66" i="6"/>
  <c r="F54" i="6"/>
  <c r="F42" i="6"/>
  <c r="F30" i="6"/>
  <c r="F18" i="6"/>
  <c r="F61" i="6"/>
  <c r="F49" i="6"/>
  <c r="F37" i="6"/>
  <c r="F25" i="6"/>
  <c r="F68" i="6"/>
  <c r="F56" i="6"/>
  <c r="F44" i="6"/>
  <c r="F32" i="6"/>
  <c r="F20" i="6"/>
  <c r="F63" i="6"/>
  <c r="F51" i="6"/>
  <c r="F39" i="6"/>
  <c r="F27" i="6"/>
  <c r="F58" i="6"/>
  <c r="F46" i="6"/>
  <c r="F34" i="6"/>
  <c r="F22" i="6"/>
  <c r="F65" i="6"/>
  <c r="F53" i="6"/>
  <c r="F41" i="6"/>
  <c r="F29" i="6"/>
  <c r="F17" i="6"/>
  <c r="F60" i="6"/>
  <c r="F48" i="6"/>
  <c r="F36" i="6"/>
  <c r="F24" i="6"/>
  <c r="F62" i="6"/>
  <c r="F50" i="6"/>
  <c r="F38" i="6"/>
  <c r="F26" i="6"/>
  <c r="F64" i="6"/>
  <c r="F52" i="6"/>
  <c r="F40" i="6"/>
  <c r="F28" i="6"/>
  <c r="F16" i="6"/>
  <c r="F57" i="6"/>
  <c r="F47" i="6"/>
  <c r="F55" i="6"/>
  <c r="F45" i="6"/>
  <c r="F33" i="6"/>
  <c r="F35" i="6"/>
  <c r="F43" i="6"/>
  <c r="F23" i="6"/>
  <c r="F31" i="6"/>
  <c r="F69" i="6"/>
  <c r="F21" i="6"/>
  <c r="F59" i="6"/>
  <c r="F67" i="6"/>
  <c r="F19" i="6"/>
  <c r="P67" i="4"/>
  <c r="P46" i="4"/>
  <c r="G47" i="8"/>
  <c r="H47" i="8"/>
  <c r="Q44" i="4"/>
  <c r="P69" i="4"/>
  <c r="I177" i="11"/>
  <c r="I178" i="11" s="1"/>
  <c r="I179" i="11" s="1"/>
  <c r="I147" i="11"/>
  <c r="I148" i="11" s="1"/>
  <c r="I149" i="11" s="1"/>
  <c r="I41" i="11"/>
  <c r="I43" i="11" s="1"/>
  <c r="I162" i="11"/>
  <c r="I163" i="11" s="1"/>
  <c r="I164" i="11" s="1"/>
  <c r="I132" i="11"/>
  <c r="I133" i="11" s="1"/>
  <c r="I134" i="11" s="1"/>
  <c r="I23" i="10"/>
  <c r="C57" i="20"/>
  <c r="C60" i="20" s="1"/>
  <c r="C61" i="20" s="1"/>
  <c r="C50" i="20" s="1"/>
  <c r="C51" i="20" s="1"/>
  <c r="G38" i="20"/>
  <c r="G40" i="20" s="1"/>
  <c r="G202" i="20"/>
  <c r="G204" i="20" s="1"/>
  <c r="G208" i="20" s="1"/>
  <c r="D89" i="20"/>
  <c r="E89" i="20" s="1"/>
  <c r="G89" i="20" s="1"/>
  <c r="C90" i="20" s="1"/>
  <c r="D10" i="6"/>
  <c r="F45" i="20"/>
  <c r="F270" i="20"/>
  <c r="H38" i="20"/>
  <c r="H40" i="20" s="1"/>
  <c r="H202" i="20"/>
  <c r="H204" i="20" s="1"/>
  <c r="H208" i="20" s="1"/>
  <c r="D90" i="20" l="1"/>
  <c r="E90" i="20" s="1"/>
  <c r="G90" i="20" s="1"/>
  <c r="C91" i="20" s="1"/>
  <c r="G270" i="20"/>
  <c r="G45" i="20"/>
  <c r="F10" i="6"/>
  <c r="E10" i="6" s="1"/>
  <c r="Q46" i="4"/>
  <c r="Q68" i="4" s="1"/>
  <c r="P68" i="4"/>
  <c r="G59" i="20"/>
  <c r="G98" i="4"/>
  <c r="H45" i="11"/>
  <c r="H47" i="11" s="1"/>
  <c r="F33" i="9"/>
  <c r="Q47" i="4"/>
  <c r="Q69" i="4" s="1"/>
  <c r="Q45" i="4"/>
  <c r="Q67" i="4" s="1"/>
  <c r="Q66" i="4"/>
  <c r="G49" i="8"/>
  <c r="D170" i="20"/>
  <c r="D175" i="20" s="1"/>
  <c r="C219" i="20"/>
  <c r="C224" i="20" s="1"/>
  <c r="C228" i="20" s="1"/>
  <c r="C241" i="20"/>
  <c r="D256" i="20"/>
  <c r="D259" i="20" s="1"/>
  <c r="D260" i="20" s="1"/>
  <c r="B210" i="20"/>
  <c r="H270" i="20"/>
  <c r="H45" i="20"/>
  <c r="I109" i="11"/>
  <c r="I110" i="11" s="1"/>
  <c r="H49" i="8"/>
  <c r="D91" i="20" l="1"/>
  <c r="E91" i="20" s="1"/>
  <c r="G91" i="20" s="1"/>
  <c r="C92" i="20" s="1"/>
  <c r="G33" i="9"/>
  <c r="G96" i="4"/>
  <c r="G99" i="4" s="1"/>
  <c r="G100" i="4" s="1"/>
  <c r="G50" i="8" s="1"/>
  <c r="H30" i="10" s="1"/>
  <c r="H33" i="10" s="1"/>
  <c r="H34" i="10" s="1"/>
  <c r="D180" i="20"/>
  <c r="D176" i="20"/>
  <c r="G10" i="6"/>
  <c r="C11" i="6" s="1"/>
  <c r="H96" i="4"/>
  <c r="H59" i="20"/>
  <c r="H98" i="4"/>
  <c r="I45" i="11"/>
  <c r="I47" i="11" s="1"/>
  <c r="C49" i="11" s="1"/>
  <c r="D28" i="2" s="1"/>
  <c r="D92" i="20" l="1"/>
  <c r="E92" i="20" s="1"/>
  <c r="G92" i="20" s="1"/>
  <c r="C93" i="20" s="1"/>
  <c r="D11" i="6"/>
  <c r="G51" i="8"/>
  <c r="H33" i="9"/>
  <c r="H99" i="4"/>
  <c r="H100" i="4" s="1"/>
  <c r="H50" i="8" s="1"/>
  <c r="D93" i="20" l="1"/>
  <c r="E93" i="20" s="1"/>
  <c r="G93" i="20"/>
  <c r="C94" i="20" s="1"/>
  <c r="I30" i="10"/>
  <c r="I33" i="10" s="1"/>
  <c r="I34" i="10" s="1"/>
  <c r="H51" i="8"/>
  <c r="F11" i="6"/>
  <c r="E11" i="6" s="1"/>
  <c r="H58" i="11"/>
  <c r="H63" i="11" s="1"/>
  <c r="H67" i="11" s="1"/>
  <c r="I95" i="11"/>
  <c r="I98" i="11" s="1"/>
  <c r="H80" i="11"/>
  <c r="G37" i="9"/>
  <c r="I9" i="11"/>
  <c r="I14" i="11" s="1"/>
  <c r="I58" i="11" l="1"/>
  <c r="I63" i="11" s="1"/>
  <c r="I67" i="11" s="1"/>
  <c r="J95" i="11"/>
  <c r="J98" i="11" s="1"/>
  <c r="I80" i="11"/>
  <c r="H37" i="9"/>
  <c r="J9" i="11"/>
  <c r="J14" i="11" s="1"/>
  <c r="G11" i="6"/>
  <c r="C12" i="6" s="1"/>
  <c r="D94" i="20"/>
  <c r="E94" i="20" s="1"/>
  <c r="G94" i="20" s="1"/>
  <c r="C95" i="20" s="1"/>
  <c r="I15" i="11"/>
  <c r="D95" i="20" l="1"/>
  <c r="E95" i="20" s="1"/>
  <c r="G95" i="20" s="1"/>
  <c r="C96" i="20" s="1"/>
  <c r="J15" i="11"/>
  <c r="D12" i="6"/>
  <c r="D96" i="20" l="1"/>
  <c r="E96" i="20" s="1"/>
  <c r="G96" i="20" s="1"/>
  <c r="C97" i="20" s="1"/>
  <c r="F12" i="6"/>
  <c r="E12" i="6" s="1"/>
  <c r="D97" i="20" l="1"/>
  <c r="E97" i="20" s="1"/>
  <c r="G97" i="20" s="1"/>
  <c r="C98" i="20" s="1"/>
  <c r="G12" i="6"/>
  <c r="C13" i="6" s="1"/>
  <c r="D98" i="20" l="1"/>
  <c r="E98" i="20" s="1"/>
  <c r="G98" i="20"/>
  <c r="C99" i="20" s="1"/>
  <c r="D13" i="6"/>
  <c r="F13" i="6" l="1"/>
  <c r="E13" i="6" s="1"/>
  <c r="D99" i="20"/>
  <c r="E99" i="20" s="1"/>
  <c r="G99" i="20" s="1"/>
  <c r="C100" i="20" s="1"/>
  <c r="D100" i="20" l="1"/>
  <c r="G13" i="6"/>
  <c r="C14" i="6" s="1"/>
  <c r="D14" i="6" l="1"/>
  <c r="D273" i="20"/>
  <c r="D274" i="20" s="1"/>
  <c r="D278" i="20" s="1"/>
  <c r="E100" i="20"/>
  <c r="G100" i="20" s="1"/>
  <c r="C101" i="20" s="1"/>
  <c r="D47" i="20"/>
  <c r="D49" i="20" s="1"/>
  <c r="D101" i="20" l="1"/>
  <c r="E101" i="20" s="1"/>
  <c r="G101" i="20" s="1"/>
  <c r="C102" i="20" s="1"/>
  <c r="D57" i="20"/>
  <c r="D60" i="20" s="1"/>
  <c r="D61" i="20" s="1"/>
  <c r="D50" i="20" s="1"/>
  <c r="D51" i="20" s="1"/>
  <c r="F14" i="6"/>
  <c r="E14" i="6" s="1"/>
  <c r="E170" i="20" l="1"/>
  <c r="E175" i="20" s="1"/>
  <c r="D219" i="20"/>
  <c r="D224" i="20" s="1"/>
  <c r="D228" i="20" s="1"/>
  <c r="E256" i="20"/>
  <c r="E259" i="20" s="1"/>
  <c r="E260" i="20" s="1"/>
  <c r="D241" i="20"/>
  <c r="G102" i="20"/>
  <c r="C103" i="20" s="1"/>
  <c r="D102" i="20"/>
  <c r="E102" i="20" s="1"/>
  <c r="G14" i="6"/>
  <c r="C15" i="6" s="1"/>
  <c r="D103" i="20" l="1"/>
  <c r="E103" i="20" s="1"/>
  <c r="G103" i="20" s="1"/>
  <c r="C104" i="20" s="1"/>
  <c r="D15" i="6"/>
  <c r="F15" i="6" s="1"/>
  <c r="E15" i="6" s="1"/>
  <c r="G15" i="6" s="1"/>
  <c r="C16" i="6" s="1"/>
  <c r="E176" i="20"/>
  <c r="E180" i="20"/>
  <c r="D16" i="6" l="1"/>
  <c r="D104" i="20"/>
  <c r="E104" i="20" s="1"/>
  <c r="G104" i="20" s="1"/>
  <c r="C105" i="20" s="1"/>
  <c r="E16" i="6" l="1"/>
  <c r="G16" i="6" s="1"/>
  <c r="C17" i="6" s="1"/>
  <c r="D17" i="6" s="1"/>
  <c r="E17" i="6" s="1"/>
  <c r="G17" i="6" s="1"/>
  <c r="C18" i="6" s="1"/>
  <c r="D105" i="20"/>
  <c r="E105" i="20" s="1"/>
  <c r="G105" i="20" s="1"/>
  <c r="C106" i="20" s="1"/>
  <c r="D18" i="6" l="1"/>
  <c r="E18" i="6" s="1"/>
  <c r="G18" i="6" s="1"/>
  <c r="C19" i="6" s="1"/>
  <c r="D106" i="20"/>
  <c r="E106" i="20" s="1"/>
  <c r="G106" i="20" s="1"/>
  <c r="C107" i="20" s="1"/>
  <c r="D107" i="20" l="1"/>
  <c r="E107" i="20" s="1"/>
  <c r="G107" i="20" s="1"/>
  <c r="C108" i="20" s="1"/>
  <c r="D19" i="6"/>
  <c r="E19" i="6" s="1"/>
  <c r="G19" i="6" s="1"/>
  <c r="C20" i="6" s="1"/>
  <c r="D20" i="6" l="1"/>
  <c r="E20" i="6" s="1"/>
  <c r="G20" i="6" s="1"/>
  <c r="C21" i="6" s="1"/>
  <c r="D108" i="20"/>
  <c r="E108" i="20" s="1"/>
  <c r="G108" i="20" s="1"/>
  <c r="C109" i="20" s="1"/>
  <c r="D109" i="20" l="1"/>
  <c r="E109" i="20" s="1"/>
  <c r="G109" i="20" s="1"/>
  <c r="C110" i="20" s="1"/>
  <c r="D21" i="6"/>
  <c r="D110" i="20" l="1"/>
  <c r="E110" i="20" s="1"/>
  <c r="G110" i="20" s="1"/>
  <c r="C111" i="20" s="1"/>
  <c r="E21" i="6"/>
  <c r="C27" i="10"/>
  <c r="B47" i="8" s="1"/>
  <c r="B49" i="8" s="1"/>
  <c r="D111" i="20" l="1"/>
  <c r="E111" i="20" s="1"/>
  <c r="G111" i="20" s="1"/>
  <c r="C112" i="20" s="1"/>
  <c r="C26" i="10"/>
  <c r="C112" i="11" s="1"/>
  <c r="C114" i="11" s="1"/>
  <c r="G21" i="6"/>
  <c r="J40" i="8"/>
  <c r="J42" i="8" s="1"/>
  <c r="B96" i="4"/>
  <c r="B99" i="4" s="1"/>
  <c r="B100" i="4" s="1"/>
  <c r="B50" i="8" s="1"/>
  <c r="C30" i="10" s="1"/>
  <c r="C33" i="10" s="1"/>
  <c r="C34" i="10" s="1"/>
  <c r="C36" i="10" s="1"/>
  <c r="D112" i="20" l="1"/>
  <c r="B51" i="8"/>
  <c r="B28" i="9"/>
  <c r="B31" i="9" s="1"/>
  <c r="C22" i="6"/>
  <c r="D35" i="10"/>
  <c r="B8" i="9"/>
  <c r="B11" i="9" s="1"/>
  <c r="B20" i="9" s="1"/>
  <c r="D22" i="6" l="1"/>
  <c r="C58" i="11"/>
  <c r="C63" i="11" s="1"/>
  <c r="C67" i="11" s="1"/>
  <c r="D9" i="11"/>
  <c r="D14" i="11" s="1"/>
  <c r="D95" i="11"/>
  <c r="D98" i="11" s="1"/>
  <c r="D99" i="11" s="1"/>
  <c r="B53" i="8"/>
  <c r="B37" i="9" s="1"/>
  <c r="C80" i="11"/>
  <c r="E273" i="20"/>
  <c r="E274" i="20" s="1"/>
  <c r="E278" i="20" s="1"/>
  <c r="E112" i="20"/>
  <c r="G112" i="20" s="1"/>
  <c r="C113" i="20" s="1"/>
  <c r="E47" i="20"/>
  <c r="E49" i="20" s="1"/>
  <c r="B39" i="9" l="1"/>
  <c r="E57" i="20"/>
  <c r="E60" i="20" s="1"/>
  <c r="E61" i="20" s="1"/>
  <c r="E50" i="20" s="1"/>
  <c r="E51" i="20" s="1"/>
  <c r="D15" i="11"/>
  <c r="D113" i="20"/>
  <c r="E113" i="20" s="1"/>
  <c r="G113" i="20" s="1"/>
  <c r="C114" i="20" s="1"/>
  <c r="E22" i="6"/>
  <c r="D114" i="20" l="1"/>
  <c r="E114" i="20" s="1"/>
  <c r="G114" i="20" s="1"/>
  <c r="C115" i="20" s="1"/>
  <c r="E219" i="20"/>
  <c r="E224" i="20" s="1"/>
  <c r="E228" i="20" s="1"/>
  <c r="F170" i="20"/>
  <c r="F175" i="20" s="1"/>
  <c r="E241" i="20"/>
  <c r="F256" i="20"/>
  <c r="F259" i="20" s="1"/>
  <c r="F260" i="20" s="1"/>
  <c r="C36" i="9"/>
  <c r="B41" i="9"/>
  <c r="B43" i="9" s="1"/>
  <c r="B46" i="9" s="1"/>
  <c r="G22" i="6"/>
  <c r="C23" i="6" s="1"/>
  <c r="D115" i="20" l="1"/>
  <c r="E115" i="20" s="1"/>
  <c r="G115" i="20" s="1"/>
  <c r="C116" i="20" s="1"/>
  <c r="D23" i="6"/>
  <c r="F180" i="20"/>
  <c r="F176" i="20"/>
  <c r="D116" i="20" l="1"/>
  <c r="E116" i="20" s="1"/>
  <c r="G116" i="20"/>
  <c r="C117" i="20" s="1"/>
  <c r="E23" i="6"/>
  <c r="D117" i="20" l="1"/>
  <c r="E117" i="20" s="1"/>
  <c r="G117" i="20" s="1"/>
  <c r="C118" i="20" s="1"/>
  <c r="G23" i="6"/>
  <c r="C24" i="6" s="1"/>
  <c r="D118" i="20" l="1"/>
  <c r="E118" i="20" s="1"/>
  <c r="G118" i="20" s="1"/>
  <c r="C119" i="20" s="1"/>
  <c r="D24" i="6"/>
  <c r="D119" i="20" l="1"/>
  <c r="E119" i="20" s="1"/>
  <c r="G119" i="20" s="1"/>
  <c r="C120" i="20" s="1"/>
  <c r="E24" i="6"/>
  <c r="D120" i="20" l="1"/>
  <c r="E120" i="20" s="1"/>
  <c r="G120" i="20" s="1"/>
  <c r="C121" i="20" s="1"/>
  <c r="G24" i="6"/>
  <c r="C25" i="6" s="1"/>
  <c r="D121" i="20" l="1"/>
  <c r="E121" i="20" s="1"/>
  <c r="G121" i="20" s="1"/>
  <c r="C122" i="20" s="1"/>
  <c r="D25" i="6"/>
  <c r="D122" i="20" l="1"/>
  <c r="E122" i="20" s="1"/>
  <c r="G122" i="20"/>
  <c r="C123" i="20" s="1"/>
  <c r="E25" i="6"/>
  <c r="D123" i="20" l="1"/>
  <c r="E123" i="20" s="1"/>
  <c r="G123" i="20" s="1"/>
  <c r="C124" i="20" s="1"/>
  <c r="G25" i="6"/>
  <c r="C26" i="6" s="1"/>
  <c r="D124" i="20" l="1"/>
  <c r="D26" i="6"/>
  <c r="E26" i="6" l="1"/>
  <c r="F273" i="20"/>
  <c r="F274" i="20" s="1"/>
  <c r="F278" i="20" s="1"/>
  <c r="E124" i="20"/>
  <c r="G124" i="20" s="1"/>
  <c r="C125" i="20" s="1"/>
  <c r="F47" i="20"/>
  <c r="F49" i="20" s="1"/>
  <c r="F57" i="20" l="1"/>
  <c r="F60" i="20" s="1"/>
  <c r="F61" i="20" s="1"/>
  <c r="F50" i="20" s="1"/>
  <c r="F51" i="20" s="1"/>
  <c r="D125" i="20"/>
  <c r="E125" i="20" s="1"/>
  <c r="G125" i="20" s="1"/>
  <c r="C126" i="20" s="1"/>
  <c r="G26" i="6"/>
  <c r="C27" i="6" s="1"/>
  <c r="D126" i="20" l="1"/>
  <c r="E126" i="20" s="1"/>
  <c r="G126" i="20" s="1"/>
  <c r="C127" i="20" s="1"/>
  <c r="G256" i="20"/>
  <c r="G259" i="20" s="1"/>
  <c r="F241" i="20"/>
  <c r="G170" i="20"/>
  <c r="G175" i="20" s="1"/>
  <c r="F219" i="20"/>
  <c r="F224" i="20" s="1"/>
  <c r="F228" i="20" s="1"/>
  <c r="D27" i="6"/>
  <c r="E27" i="6" s="1"/>
  <c r="G27" i="6" s="1"/>
  <c r="C28" i="6" s="1"/>
  <c r="D28" i="6" l="1"/>
  <c r="E28" i="6" s="1"/>
  <c r="G28" i="6" s="1"/>
  <c r="C29" i="6" s="1"/>
  <c r="D127" i="20"/>
  <c r="E127" i="20" s="1"/>
  <c r="G127" i="20" s="1"/>
  <c r="C128" i="20" s="1"/>
  <c r="G180" i="20"/>
  <c r="G176" i="20"/>
  <c r="C262" i="20"/>
  <c r="G260" i="20"/>
  <c r="D128" i="20" l="1"/>
  <c r="E128" i="20" s="1"/>
  <c r="G128" i="20" s="1"/>
  <c r="C129" i="20" s="1"/>
  <c r="D29" i="6"/>
  <c r="E29" i="6" s="1"/>
  <c r="G29" i="6" s="1"/>
  <c r="C30" i="6" s="1"/>
  <c r="D30" i="6" l="1"/>
  <c r="E30" i="6" s="1"/>
  <c r="G30" i="6" s="1"/>
  <c r="C31" i="6" s="1"/>
  <c r="D129" i="20"/>
  <c r="E129" i="20" s="1"/>
  <c r="G129" i="20" s="1"/>
  <c r="C130" i="20" s="1"/>
  <c r="D130" i="20" l="1"/>
  <c r="E130" i="20" s="1"/>
  <c r="G130" i="20" s="1"/>
  <c r="C131" i="20" s="1"/>
  <c r="D31" i="6"/>
  <c r="E31" i="6" s="1"/>
  <c r="G31" i="6" s="1"/>
  <c r="C32" i="6" s="1"/>
  <c r="D32" i="6" l="1"/>
  <c r="E32" i="6" s="1"/>
  <c r="G32" i="6" s="1"/>
  <c r="C33" i="6" s="1"/>
  <c r="D131" i="20"/>
  <c r="E131" i="20" s="1"/>
  <c r="G131" i="20" s="1"/>
  <c r="C132" i="20" s="1"/>
  <c r="D132" i="20" l="1"/>
  <c r="E132" i="20" s="1"/>
  <c r="G132" i="20" s="1"/>
  <c r="C133" i="20" s="1"/>
  <c r="D33" i="6"/>
  <c r="D133" i="20" l="1"/>
  <c r="E133" i="20" s="1"/>
  <c r="G133" i="20" s="1"/>
  <c r="C134" i="20" s="1"/>
  <c r="E33" i="6"/>
  <c r="D27" i="10"/>
  <c r="C47" i="8" s="1"/>
  <c r="C49" i="8" s="1"/>
  <c r="D134" i="20" l="1"/>
  <c r="E134" i="20" s="1"/>
  <c r="G134" i="20" s="1"/>
  <c r="C135" i="20" s="1"/>
  <c r="C96" i="4"/>
  <c r="C99" i="4" s="1"/>
  <c r="C100" i="4" s="1"/>
  <c r="C50" i="8" s="1"/>
  <c r="D30" i="10" s="1"/>
  <c r="D26" i="10"/>
  <c r="G33" i="6"/>
  <c r="D135" i="20" l="1"/>
  <c r="E135" i="20" s="1"/>
  <c r="G135" i="20" s="1"/>
  <c r="C136" i="20" s="1"/>
  <c r="D112" i="11"/>
  <c r="D114" i="11" s="1"/>
  <c r="D33" i="10"/>
  <c r="D34" i="10" s="1"/>
  <c r="D36" i="10" s="1"/>
  <c r="C28" i="9"/>
  <c r="C31" i="9" s="1"/>
  <c r="C34" i="6"/>
  <c r="C51" i="8"/>
  <c r="D136" i="20" l="1"/>
  <c r="C37" i="9"/>
  <c r="C39" i="9" s="1"/>
  <c r="E9" i="11"/>
  <c r="E14" i="11" s="1"/>
  <c r="E95" i="11"/>
  <c r="E98" i="11" s="1"/>
  <c r="E99" i="11" s="1"/>
  <c r="D58" i="11"/>
  <c r="D63" i="11" s="1"/>
  <c r="D67" i="11" s="1"/>
  <c r="D80" i="11"/>
  <c r="C53" i="8"/>
  <c r="D34" i="6"/>
  <c r="E35" i="10"/>
  <c r="C8" i="9"/>
  <c r="C11" i="9" s="1"/>
  <c r="C20" i="9" s="1"/>
  <c r="E15" i="11" l="1"/>
  <c r="D36" i="9"/>
  <c r="C41" i="9"/>
  <c r="C43" i="9" s="1"/>
  <c r="C46" i="9" s="1"/>
  <c r="E34" i="6"/>
  <c r="G273" i="20"/>
  <c r="G274" i="20" s="1"/>
  <c r="G278" i="20" s="1"/>
  <c r="E136" i="20"/>
  <c r="G136" i="20" s="1"/>
  <c r="C137" i="20" s="1"/>
  <c r="G47" i="20"/>
  <c r="G49" i="20" s="1"/>
  <c r="D137" i="20" l="1"/>
  <c r="E137" i="20" s="1"/>
  <c r="G137" i="20" s="1"/>
  <c r="C138" i="20" s="1"/>
  <c r="G34" i="6"/>
  <c r="C35" i="6" s="1"/>
  <c r="G57" i="20"/>
  <c r="G60" i="20" s="1"/>
  <c r="G61" i="20" s="1"/>
  <c r="G50" i="20" s="1"/>
  <c r="G51" i="20" s="1"/>
  <c r="G219" i="20" l="1"/>
  <c r="G224" i="20" s="1"/>
  <c r="G228" i="20" s="1"/>
  <c r="H256" i="20"/>
  <c r="H259" i="20" s="1"/>
  <c r="H260" i="20" s="1"/>
  <c r="G241" i="20"/>
  <c r="H170" i="20"/>
  <c r="H175" i="20" s="1"/>
  <c r="D138" i="20"/>
  <c r="E138" i="20" s="1"/>
  <c r="G138" i="20" s="1"/>
  <c r="C139" i="20" s="1"/>
  <c r="D35" i="6"/>
  <c r="D139" i="20" l="1"/>
  <c r="E139" i="20" s="1"/>
  <c r="G139" i="20" s="1"/>
  <c r="C140" i="20" s="1"/>
  <c r="H180" i="20"/>
  <c r="H176" i="20"/>
  <c r="E35" i="6"/>
  <c r="D140" i="20" l="1"/>
  <c r="E140" i="20" s="1"/>
  <c r="G140" i="20"/>
  <c r="C141" i="20" s="1"/>
  <c r="G35" i="6"/>
  <c r="C36" i="6" s="1"/>
  <c r="D141" i="20" l="1"/>
  <c r="E141" i="20" s="1"/>
  <c r="G141" i="20" s="1"/>
  <c r="C142" i="20" s="1"/>
  <c r="D36" i="6"/>
  <c r="D142" i="20" l="1"/>
  <c r="E142" i="20" s="1"/>
  <c r="G142" i="20"/>
  <c r="C143" i="20" s="1"/>
  <c r="E36" i="6"/>
  <c r="D143" i="20" l="1"/>
  <c r="E143" i="20" s="1"/>
  <c r="G143" i="20" s="1"/>
  <c r="C144" i="20" s="1"/>
  <c r="G36" i="6"/>
  <c r="C37" i="6" s="1"/>
  <c r="D144" i="20" l="1"/>
  <c r="E144" i="20" s="1"/>
  <c r="G144" i="20" s="1"/>
  <c r="C145" i="20" s="1"/>
  <c r="D37" i="6"/>
  <c r="D145" i="20" l="1"/>
  <c r="E145" i="20" s="1"/>
  <c r="G145" i="20" s="1"/>
  <c r="C146" i="20" s="1"/>
  <c r="E37" i="6"/>
  <c r="D146" i="20" l="1"/>
  <c r="E146" i="20" s="1"/>
  <c r="G146" i="20"/>
  <c r="C147" i="20" s="1"/>
  <c r="G37" i="6"/>
  <c r="C38" i="6" s="1"/>
  <c r="D38" i="6" l="1"/>
  <c r="D147" i="20"/>
  <c r="E147" i="20" s="1"/>
  <c r="G147" i="20" s="1"/>
  <c r="C148" i="20" s="1"/>
  <c r="D148" i="20" l="1"/>
  <c r="E38" i="6"/>
  <c r="G38" i="6" l="1"/>
  <c r="C39" i="6" s="1"/>
  <c r="H273" i="20"/>
  <c r="H274" i="20" s="1"/>
  <c r="H278" i="20" s="1"/>
  <c r="E148" i="20"/>
  <c r="G148" i="20" s="1"/>
  <c r="C149" i="20" s="1"/>
  <c r="H47" i="20"/>
  <c r="H49" i="20" s="1"/>
  <c r="D149" i="20" l="1"/>
  <c r="E149" i="20" s="1"/>
  <c r="G149" i="20" s="1"/>
  <c r="C150" i="20" s="1"/>
  <c r="D39" i="6"/>
  <c r="E39" i="6" s="1"/>
  <c r="G39" i="6" s="1"/>
  <c r="C40" i="6" s="1"/>
  <c r="H57" i="20"/>
  <c r="H60" i="20" s="1"/>
  <c r="H61" i="20" s="1"/>
  <c r="H50" i="20" s="1"/>
  <c r="H51" i="20" s="1"/>
  <c r="H219" i="20" l="1"/>
  <c r="H224" i="20" s="1"/>
  <c r="H228" i="20" s="1"/>
  <c r="I256" i="20"/>
  <c r="I259" i="20" s="1"/>
  <c r="I260" i="20" s="1"/>
  <c r="H241" i="20"/>
  <c r="I170" i="20"/>
  <c r="I175" i="20" s="1"/>
  <c r="D40" i="6"/>
  <c r="E40" i="6" s="1"/>
  <c r="G40" i="6" s="1"/>
  <c r="C41" i="6" s="1"/>
  <c r="D150" i="20"/>
  <c r="E150" i="20" s="1"/>
  <c r="G150" i="20" s="1"/>
  <c r="C151" i="20" s="1"/>
  <c r="D151" i="20" l="1"/>
  <c r="E151" i="20" s="1"/>
  <c r="G151" i="20" s="1"/>
  <c r="C152" i="20" s="1"/>
  <c r="D41" i="6"/>
  <c r="E41" i="6" s="1"/>
  <c r="G41" i="6" s="1"/>
  <c r="C42" i="6" s="1"/>
  <c r="I180" i="20"/>
  <c r="I176" i="20"/>
  <c r="D42" i="6" l="1"/>
  <c r="E42" i="6" s="1"/>
  <c r="G42" i="6" s="1"/>
  <c r="C43" i="6" s="1"/>
  <c r="D152" i="20"/>
  <c r="E152" i="20" s="1"/>
  <c r="G152" i="20" s="1"/>
  <c r="C153" i="20" s="1"/>
  <c r="D153" i="20" l="1"/>
  <c r="E153" i="20" s="1"/>
  <c r="G153" i="20" s="1"/>
  <c r="C154" i="20" s="1"/>
  <c r="D43" i="6"/>
  <c r="E43" i="6" s="1"/>
  <c r="G43" i="6" s="1"/>
  <c r="C44" i="6" s="1"/>
  <c r="D44" i="6" l="1"/>
  <c r="E44" i="6" s="1"/>
  <c r="G44" i="6" s="1"/>
  <c r="C45" i="6" s="1"/>
  <c r="D154" i="20"/>
  <c r="E154" i="20" s="1"/>
  <c r="G154" i="20" s="1"/>
  <c r="C155" i="20" s="1"/>
  <c r="D155" i="20" l="1"/>
  <c r="E155" i="20" s="1"/>
  <c r="G155" i="20" s="1"/>
  <c r="C156" i="20" s="1"/>
  <c r="D45" i="6"/>
  <c r="D156" i="20" l="1"/>
  <c r="E156" i="20" s="1"/>
  <c r="G156" i="20" s="1"/>
  <c r="C157" i="20" s="1"/>
  <c r="E45" i="6"/>
  <c r="E27" i="10"/>
  <c r="D47" i="8" s="1"/>
  <c r="D49" i="8" s="1"/>
  <c r="D157" i="20" l="1"/>
  <c r="E157" i="20" s="1"/>
  <c r="G157" i="20" s="1"/>
  <c r="C158" i="20" s="1"/>
  <c r="D96" i="4"/>
  <c r="D99" i="4" s="1"/>
  <c r="D100" i="4" s="1"/>
  <c r="D50" i="8" s="1"/>
  <c r="E30" i="10" s="1"/>
  <c r="E26" i="10"/>
  <c r="G45" i="6"/>
  <c r="D158" i="20" l="1"/>
  <c r="E158" i="20" s="1"/>
  <c r="G158" i="20" s="1"/>
  <c r="C159" i="20" s="1"/>
  <c r="E112" i="11"/>
  <c r="E114" i="11" s="1"/>
  <c r="E33" i="10"/>
  <c r="E34" i="10" s="1"/>
  <c r="E36" i="10" s="1"/>
  <c r="D28" i="9"/>
  <c r="D31" i="9" s="1"/>
  <c r="C46" i="6"/>
  <c r="D51" i="8"/>
  <c r="D159" i="20" l="1"/>
  <c r="E159" i="20" s="1"/>
  <c r="G159" i="20" s="1"/>
  <c r="E58" i="11"/>
  <c r="E63" i="11" s="1"/>
  <c r="E67" i="11" s="1"/>
  <c r="F9" i="11"/>
  <c r="F14" i="11" s="1"/>
  <c r="F95" i="11"/>
  <c r="F98" i="11" s="1"/>
  <c r="F99" i="11" s="1"/>
  <c r="E80" i="11"/>
  <c r="D37" i="9"/>
  <c r="D39" i="9" s="1"/>
  <c r="D53" i="8"/>
  <c r="D46" i="6"/>
  <c r="F35" i="10"/>
  <c r="D8" i="9"/>
  <c r="D11" i="9" s="1"/>
  <c r="D20" i="9" s="1"/>
  <c r="F15" i="11" l="1"/>
  <c r="E36" i="9"/>
  <c r="D41" i="9"/>
  <c r="D43" i="9" s="1"/>
  <c r="D46" i="9" s="1"/>
  <c r="E46" i="6"/>
  <c r="G46" i="6" l="1"/>
  <c r="C47" i="6" s="1"/>
  <c r="D47" i="6" l="1"/>
  <c r="E47" i="6" l="1"/>
  <c r="G47" i="6" l="1"/>
  <c r="C48" i="6" s="1"/>
  <c r="D48" i="6" l="1"/>
  <c r="E48" i="6" l="1"/>
  <c r="G48" i="6" l="1"/>
  <c r="C49" i="6" s="1"/>
  <c r="D49" i="6" l="1"/>
  <c r="E49" i="6" l="1"/>
  <c r="G49" i="6" l="1"/>
  <c r="C50" i="6" s="1"/>
  <c r="D50" i="6" l="1"/>
  <c r="E50" i="6" l="1"/>
  <c r="G50" i="6" l="1"/>
  <c r="C51" i="6" s="1"/>
  <c r="D51" i="6" l="1"/>
  <c r="E51" i="6" s="1"/>
  <c r="G51" i="6" s="1"/>
  <c r="C52" i="6" s="1"/>
  <c r="D52" i="6" l="1"/>
  <c r="E52" i="6" s="1"/>
  <c r="G52" i="6" s="1"/>
  <c r="C53" i="6" s="1"/>
  <c r="D53" i="6" l="1"/>
  <c r="E53" i="6" s="1"/>
  <c r="G53" i="6" s="1"/>
  <c r="C54" i="6" s="1"/>
  <c r="D54" i="6" l="1"/>
  <c r="E54" i="6" s="1"/>
  <c r="G54" i="6"/>
  <c r="C55" i="6" s="1"/>
  <c r="D55" i="6" l="1"/>
  <c r="E55" i="6" s="1"/>
  <c r="G55" i="6" s="1"/>
  <c r="C56" i="6" s="1"/>
  <c r="D56" i="6" l="1"/>
  <c r="E56" i="6" s="1"/>
  <c r="G56" i="6" s="1"/>
  <c r="C57" i="6" s="1"/>
  <c r="D57" i="6" l="1"/>
  <c r="E57" i="6" l="1"/>
  <c r="F27" i="10"/>
  <c r="E47" i="8" s="1"/>
  <c r="E49" i="8" s="1"/>
  <c r="E96" i="4" l="1"/>
  <c r="E99" i="4" s="1"/>
  <c r="E100" i="4" s="1"/>
  <c r="E50" i="8" s="1"/>
  <c r="F30" i="10" s="1"/>
  <c r="F26" i="10"/>
  <c r="G57" i="6"/>
  <c r="E28" i="9" l="1"/>
  <c r="E31" i="9" s="1"/>
  <c r="C58" i="6"/>
  <c r="F112" i="11"/>
  <c r="F114" i="11" s="1"/>
  <c r="F33" i="10"/>
  <c r="F34" i="10" s="1"/>
  <c r="F36" i="10" s="1"/>
  <c r="E51" i="8"/>
  <c r="G35" i="10" l="1"/>
  <c r="E8" i="9"/>
  <c r="E11" i="9" s="1"/>
  <c r="E20" i="9" s="1"/>
  <c r="D58" i="6"/>
  <c r="F58" i="11"/>
  <c r="F63" i="11" s="1"/>
  <c r="F67" i="11" s="1"/>
  <c r="G95" i="11"/>
  <c r="G98" i="11" s="1"/>
  <c r="G99" i="11" s="1"/>
  <c r="F80" i="11"/>
  <c r="E37" i="9"/>
  <c r="E39" i="9" s="1"/>
  <c r="G9" i="11"/>
  <c r="G14" i="11" s="1"/>
  <c r="E53" i="8"/>
  <c r="F36" i="9" l="1"/>
  <c r="E41" i="9"/>
  <c r="E43" i="9" s="1"/>
  <c r="E46" i="9" s="1"/>
  <c r="G15" i="11"/>
  <c r="E58" i="6"/>
  <c r="G58" i="6" l="1"/>
  <c r="C59" i="6" s="1"/>
  <c r="D59" i="6" l="1"/>
  <c r="E59" i="6" l="1"/>
  <c r="G59" i="6" l="1"/>
  <c r="C60" i="6" s="1"/>
  <c r="D60" i="6" l="1"/>
  <c r="E60" i="6" l="1"/>
  <c r="G60" i="6" l="1"/>
  <c r="C61" i="6" s="1"/>
  <c r="D61" i="6" l="1"/>
  <c r="E61" i="6" l="1"/>
  <c r="G61" i="6" l="1"/>
  <c r="C62" i="6" s="1"/>
  <c r="D62" i="6" l="1"/>
  <c r="E62" i="6" l="1"/>
  <c r="G62" i="6" l="1"/>
  <c r="C63" i="6" s="1"/>
  <c r="D63" i="6" l="1"/>
  <c r="E63" i="6" s="1"/>
  <c r="G63" i="6" s="1"/>
  <c r="C64" i="6" s="1"/>
  <c r="D64" i="6" l="1"/>
  <c r="E64" i="6" s="1"/>
  <c r="G64" i="6"/>
  <c r="C65" i="6" s="1"/>
  <c r="D65" i="6" l="1"/>
  <c r="E65" i="6" s="1"/>
  <c r="G65" i="6" s="1"/>
  <c r="C66" i="6" s="1"/>
  <c r="D66" i="6" l="1"/>
  <c r="E66" i="6" s="1"/>
  <c r="G66" i="6"/>
  <c r="C67" i="6" s="1"/>
  <c r="D67" i="6" l="1"/>
  <c r="E67" i="6" s="1"/>
  <c r="G67" i="6" s="1"/>
  <c r="C68" i="6" s="1"/>
  <c r="D68" i="6" l="1"/>
  <c r="E68" i="6" s="1"/>
  <c r="G68" i="6" s="1"/>
  <c r="C69" i="6" s="1"/>
  <c r="D69" i="6" l="1"/>
  <c r="E69" i="6" l="1"/>
  <c r="D94" i="6"/>
  <c r="G27" i="10"/>
  <c r="F47" i="8" s="1"/>
  <c r="F49" i="8" s="1"/>
  <c r="F96" i="4" l="1"/>
  <c r="F99" i="4" s="1"/>
  <c r="F100" i="4" s="1"/>
  <c r="F50" i="8" s="1"/>
  <c r="G30" i="10" s="1"/>
  <c r="E94" i="6"/>
  <c r="G26" i="10"/>
  <c r="G69" i="6"/>
  <c r="F28" i="9" s="1"/>
  <c r="F31" i="9" s="1"/>
  <c r="G112" i="11" l="1"/>
  <c r="G114" i="11" s="1"/>
  <c r="C116" i="11" s="1"/>
  <c r="D33" i="2" s="1"/>
  <c r="G33" i="10"/>
  <c r="G34" i="10" s="1"/>
  <c r="G36" i="10" s="1"/>
  <c r="F51" i="8"/>
  <c r="G58" i="11" l="1"/>
  <c r="G63" i="11" s="1"/>
  <c r="G67" i="11" s="1"/>
  <c r="C69" i="11" s="1"/>
  <c r="C73" i="11" s="1"/>
  <c r="D31" i="2" s="1"/>
  <c r="H95" i="11"/>
  <c r="H98" i="11" s="1"/>
  <c r="G80" i="11"/>
  <c r="C82" i="11" s="1"/>
  <c r="C85" i="11" s="1"/>
  <c r="D29" i="2" s="1"/>
  <c r="H9" i="11"/>
  <c r="H14" i="11" s="1"/>
  <c r="F37" i="9"/>
  <c r="F39" i="9" s="1"/>
  <c r="F53" i="8"/>
  <c r="G53" i="8" s="1"/>
  <c r="H53" i="8" s="1"/>
  <c r="H35" i="10"/>
  <c r="H36" i="10" s="1"/>
  <c r="F8" i="9"/>
  <c r="F11" i="9" s="1"/>
  <c r="F20" i="9" s="1"/>
  <c r="I35" i="10" l="1"/>
  <c r="I36" i="10" s="1"/>
  <c r="H8" i="9" s="1"/>
  <c r="H11" i="9" s="1"/>
  <c r="H20" i="9" s="1"/>
  <c r="G8" i="9"/>
  <c r="G11" i="9" s="1"/>
  <c r="G20" i="9" s="1"/>
  <c r="G36" i="9"/>
  <c r="G39" i="9" s="1"/>
  <c r="F41" i="9"/>
  <c r="F43" i="9" s="1"/>
  <c r="F46" i="9" s="1"/>
  <c r="H15" i="11"/>
  <c r="C16" i="11" s="1"/>
  <c r="H99" i="11"/>
  <c r="I99" i="11" s="1"/>
  <c r="J99" i="11" s="1"/>
  <c r="D101" i="11"/>
  <c r="D32" i="2" s="1"/>
  <c r="H36" i="9" l="1"/>
  <c r="H39" i="9" s="1"/>
  <c r="H41" i="9" s="1"/>
  <c r="H43" i="9" s="1"/>
  <c r="H46" i="9" s="1"/>
  <c r="G41" i="9"/>
  <c r="G43" i="9" s="1"/>
  <c r="G46" i="9" s="1"/>
  <c r="D18" i="11"/>
  <c r="D30" i="2"/>
  <c r="E18" i="11" l="1"/>
  <c r="D19" i="11"/>
  <c r="F18" i="11" l="1"/>
  <c r="E19" i="11"/>
  <c r="G18" i="11" l="1"/>
  <c r="F19" i="11"/>
  <c r="H18" i="11" l="1"/>
  <c r="G19" i="11"/>
  <c r="I18" i="11" l="1"/>
  <c r="H19" i="11"/>
  <c r="J18" i="11" l="1"/>
  <c r="J19" i="11" s="1"/>
  <c r="I19" i="11"/>
  <c r="D20" i="11" l="1"/>
  <c r="F23" i="11" s="1"/>
</calcChain>
</file>

<file path=xl/sharedStrings.xml><?xml version="1.0" encoding="utf-8"?>
<sst xmlns="http://schemas.openxmlformats.org/spreadsheetml/2006/main" count="1714" uniqueCount="817">
  <si>
    <t>Note for users</t>
  </si>
  <si>
    <t xml:space="preserve">Draft Business Plan Financial Calculator </t>
  </si>
  <si>
    <t xml:space="preserve">1.0 About the calculator </t>
  </si>
  <si>
    <r>
      <rPr>
        <sz val="11"/>
        <rFont val="Calibri"/>
      </rPr>
      <t xml:space="preserve">The business plan financial calculator will be the tool to generate the financial projection of the business plan based on the certain data inputs. </t>
    </r>
    <r>
      <rPr>
        <b/>
        <sz val="11"/>
        <rFont val="Calibri"/>
      </rPr>
      <t xml:space="preserve">It will be the tool which can be easily used by any professional who understand the basic accounting. The business plan financial calculator will generate following statements automatically based on certain data inputs:
</t>
    </r>
    <r>
      <rPr>
        <sz val="11"/>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rFont val="Calibri"/>
      </rPr>
      <t xml:space="preserve">
The above ratios will help  decision makers for approving the business plan / Full Project Report.</t>
    </r>
  </si>
  <si>
    <t xml:space="preserve">2.0 Features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</si>
  <si>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</si>
  <si>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</si>
  <si>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</si>
  <si>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</si>
  <si>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</si>
  <si>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</si>
  <si>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</si>
  <si>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</si>
  <si>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</si>
  <si>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</si>
  <si>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</si>
  <si>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</si>
  <si>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</si>
  <si>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</si>
  <si>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</si>
  <si>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</si>
  <si>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</si>
  <si>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</si>
  <si>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</si>
  <si>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</si>
  <si>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</si>
  <si>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</si>
  <si>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</si>
  <si>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</si>
  <si>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</si>
  <si>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</si>
  <si>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</si>
  <si>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</si>
  <si>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</si>
  <si>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</si>
  <si>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</si>
  <si>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</si>
  <si>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</si>
  <si>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</si>
  <si>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</si>
  <si>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</si>
  <si>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</si>
  <si>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</si>
  <si>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</si>
  <si>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</si>
  <si>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</si>
  <si>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</si>
  <si>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</si>
  <si>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</si>
  <si>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</si>
  <si>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</si>
  <si>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</si>
  <si>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</si>
  <si>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</si>
  <si>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</si>
  <si>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</si>
  <si>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</si>
  <si>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</si>
  <si>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</si>
  <si>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</si>
  <si>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</si>
  <si>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</si>
  <si>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</si>
  <si>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</si>
  <si>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</si>
  <si>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</si>
  <si>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</si>
  <si>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</si>
  <si>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</si>
  <si>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</si>
  <si>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</si>
  <si>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</si>
  <si>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</si>
  <si>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</si>
  <si>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</si>
  <si>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</si>
  <si>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</si>
  <si>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(3.2 &amp; 3.3)</t>
  </si>
  <si>
    <t>Step-8</t>
  </si>
  <si>
    <t xml:space="preserve">Copy relevant tables in word file of FPP </t>
  </si>
  <si>
    <t>1.1 Total Project Cost</t>
  </si>
  <si>
    <t>Sr. No.</t>
  </si>
  <si>
    <t>Particular</t>
  </si>
  <si>
    <t>Amount (Rs.)</t>
  </si>
  <si>
    <t xml:space="preserve">Grant (%) </t>
  </si>
  <si>
    <t>Grant Amount (Rs.)</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</si>
  <si>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</si>
  <si>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</si>
  <si>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</si>
  <si>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</si>
  <si>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t>
  </si>
  <si>
    <t xml:space="preserve">Govt. Grant under SMART Project </t>
  </si>
  <si>
    <t>Bank Finance - Long Term Loan (= Total Project Cost- Smart Grant - Own Contribution)</t>
  </si>
  <si>
    <t xml:space="preserve">Own Contribution (=Fixed Assets*10%)+Working Capital ) </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</si>
  <si>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</si>
  <si>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</si>
  <si>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</si>
  <si>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</si>
  <si>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</si>
  <si>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</si>
  <si>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</si>
  <si>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</si>
  <si>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</si>
  <si>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Avg. Return on Capital Employed Average (ROCE)</t>
  </si>
  <si>
    <t xml:space="preserve">RoCE  for the project shall be more than 12% </t>
  </si>
  <si>
    <t>Internal Rate of Return (IRR)</t>
  </si>
  <si>
    <t xml:space="preserve">The project internal rate of return shall be more than 10% </t>
  </si>
  <si>
    <t>Net present value (at a discount rate of 10 per cent)</t>
  </si>
  <si>
    <t>NPV is high and positive at a conservative project life of 5 years</t>
  </si>
  <si>
    <t xml:space="preserve">With a discount rate of 10% and a span of 7 operational years, the NPV should be positive </t>
  </si>
  <si>
    <t>Payback period</t>
  </si>
  <si>
    <t xml:space="preserve">The Pack Back Period (Project/ Equity) shall be less than 7 years </t>
  </si>
  <si>
    <t>Debt Service Coverage Ratio (DSCR)</t>
  </si>
  <si>
    <t>DSCR shall be more than 2 for better performing project.</t>
  </si>
  <si>
    <t>Land and Building</t>
  </si>
  <si>
    <t>Unit</t>
  </si>
  <si>
    <t>No. of Unit</t>
  </si>
  <si>
    <t>Rate per unit</t>
  </si>
  <si>
    <t>Land</t>
  </si>
  <si>
    <t>Sq. ft.</t>
  </si>
  <si>
    <t>Lease</t>
  </si>
  <si>
    <t>Construction of Cleaning &amp; Grading Unit</t>
  </si>
  <si>
    <t>Sq. Mtrs</t>
  </si>
  <si>
    <t xml:space="preserve">Construction of Flour Mill </t>
  </si>
  <si>
    <t>Construction of Warehouse</t>
  </si>
  <si>
    <t>This Sheet provide details of land and various construction, including area, rate per unit and total amount</t>
  </si>
  <si>
    <t>Machinery and Equipment</t>
  </si>
  <si>
    <t>Capacity</t>
  </si>
  <si>
    <t>No. Required</t>
  </si>
  <si>
    <t>Rate</t>
  </si>
  <si>
    <t>Total HP</t>
  </si>
  <si>
    <t xml:space="preserve">Cleaning &amp; Grading </t>
  </si>
  <si>
    <t>4 TPH</t>
  </si>
  <si>
    <t>BUCKET ELEVATOR TO FEED PRE CLEANER</t>
  </si>
  <si>
    <t>PRE CLEANER (APC-6)</t>
  </si>
  <si>
    <t>BUCKET ELEVATOR TO FEED FINE CLEANER</t>
  </si>
  <si>
    <t>FINE CLEANER (NANDI SUPER MODEL)</t>
  </si>
  <si>
    <t>INDENT CYLINDER WITH BYE-PASS ARRANGEMENT TO FEED THE MATERIAL TO GRAVITY SEPARATOR (AIC-5)</t>
  </si>
  <si>
    <t>BUCKET ELEVATOR TO FEED MAGNETIC SEPARATOR</t>
  </si>
  <si>
    <t>MAGNETIC SEPARATOR</t>
  </si>
  <si>
    <t>BUCKET ELEVATOR TO FEED GRAVITY SEPERATOR</t>
  </si>
  <si>
    <t>AUTOMATIC 7 FAN GRAVITY SEPARATOR</t>
  </si>
  <si>
    <t>(VFD WITH PANEL)</t>
  </si>
  <si>
    <t>ADDITIONAL 5 SCREENS EXTRA</t>
  </si>
  <si>
    <t>ADDITIONAL DECK FOR GRAVITY SEPARATOR</t>
  </si>
  <si>
    <t>CONTROL PANNEL</t>
  </si>
  <si>
    <t>STORAGE BIN (8 TON)</t>
  </si>
  <si>
    <t>GST @ 18%</t>
  </si>
  <si>
    <t>Installation Charges</t>
  </si>
  <si>
    <t>Transportation</t>
  </si>
  <si>
    <t>Packaging Machine</t>
  </si>
  <si>
    <t>AUTOMATIC WEIGHING AND FILLING MACHINE (25-50 KG Capacity)</t>
  </si>
  <si>
    <t>BELT CONVEYOR , TO MOVE FILL BAG FOR STITCHING PURPOSE</t>
  </si>
  <si>
    <t>STITCHING MACHINE</t>
  </si>
  <si>
    <t>AIR COMPRESSOR</t>
  </si>
  <si>
    <t>STORAGE BIN</t>
  </si>
  <si>
    <t>Elevator</t>
  </si>
  <si>
    <t>Subtotal</t>
  </si>
  <si>
    <t>Flour Mill</t>
  </si>
  <si>
    <t>1000 Kg/Hr</t>
  </si>
  <si>
    <t>a</t>
  </si>
  <si>
    <t>Cleaning Section</t>
  </si>
  <si>
    <t>Wheat Crusher</t>
  </si>
  <si>
    <t>Dust Collector</t>
  </si>
  <si>
    <t>Reel Machine</t>
  </si>
  <si>
    <t>De-stoner</t>
  </si>
  <si>
    <t>Gravity/Vibro</t>
  </si>
  <si>
    <t>b</t>
  </si>
  <si>
    <t>Storage &amp; Conditioning Section</t>
  </si>
  <si>
    <t>Worm Conveyor</t>
  </si>
  <si>
    <t>Storage Tank</t>
  </si>
  <si>
    <t>c</t>
  </si>
  <si>
    <t>Milling &amp; Sieving Section</t>
  </si>
  <si>
    <t>Pneumatic System</t>
  </si>
  <si>
    <t>Centrifugal Siever</t>
  </si>
  <si>
    <t>d</t>
  </si>
  <si>
    <t>Installation &amp; Extra</t>
  </si>
  <si>
    <t>Installation</t>
  </si>
  <si>
    <t>Electrical Starter</t>
  </si>
  <si>
    <t>C</t>
  </si>
  <si>
    <t>Electricity Connection</t>
  </si>
  <si>
    <t>63 KVA Transformer</t>
  </si>
  <si>
    <t>D</t>
  </si>
  <si>
    <t>Solar</t>
  </si>
  <si>
    <t>100 kw on-grid rooftop solar system</t>
  </si>
  <si>
    <t>100 Kw</t>
  </si>
  <si>
    <t>GST @ 12%</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</si>
  <si>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</si>
  <si>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</si>
  <si>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</si>
  <si>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</si>
  <si>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Computer &amp; Xerox Machine</t>
  </si>
  <si>
    <t>Vehicle</t>
  </si>
  <si>
    <t>This Sheet provide details of vehicles, no.of vehicle, rate per vehicle and total amount</t>
  </si>
  <si>
    <t>Preliminary Expenses</t>
  </si>
  <si>
    <t>Amount  (Rs.)</t>
  </si>
  <si>
    <t>Civil Estimation Prepartion</t>
  </si>
  <si>
    <t>DPR Prepartion</t>
  </si>
  <si>
    <t>Lease Deed</t>
  </si>
  <si>
    <t>Preliminary expenses are considered as prior expenses before the beginning of business or Projects. The eligible amount is 5% of te project cost. Minimum amount is Rs.500000/- and maximum amount is Rs.2000000/-</t>
  </si>
  <si>
    <t xml:space="preserve">3.1 Schedule of General Admin Expenses (Fixed) </t>
  </si>
  <si>
    <t>Particulars</t>
  </si>
  <si>
    <t>No.of Unit</t>
  </si>
  <si>
    <t>Unit Cost</t>
  </si>
  <si>
    <t>Y1</t>
  </si>
  <si>
    <t>Y2</t>
  </si>
  <si>
    <t>Y3</t>
  </si>
  <si>
    <t>Y4</t>
  </si>
  <si>
    <t>Y5</t>
  </si>
  <si>
    <t>Y6</t>
  </si>
  <si>
    <t>Y7</t>
  </si>
  <si>
    <t xml:space="preserve"> Manager</t>
  </si>
  <si>
    <t>No.</t>
  </si>
  <si>
    <t>Accountant</t>
  </si>
  <si>
    <t>Quality Technician</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</si>
  <si>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</si>
  <si>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</si>
  <si>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</si>
  <si>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</si>
  <si>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</si>
  <si>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</si>
  <si>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</si>
  <si>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</si>
  <si>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</si>
  <si>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</si>
  <si>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if it is related to salary it should multiply by 12 months.</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</si>
  <si>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</si>
  <si>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</si>
  <si>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</si>
  <si>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</si>
  <si>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</si>
  <si>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</si>
  <si>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</si>
  <si>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</si>
  <si>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</si>
  <si>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</si>
  <si>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</si>
  <si>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</si>
  <si>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</si>
  <si>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</si>
  <si>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</si>
  <si>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</si>
  <si>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</si>
  <si>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Depriciation percent</t>
  </si>
  <si>
    <t>Depriciation percent as per IT Act</t>
  </si>
  <si>
    <t>Depreciation: Straight Line Method (SLM) is used</t>
  </si>
  <si>
    <t>SLM</t>
  </si>
  <si>
    <t>WDV</t>
  </si>
  <si>
    <t>IT and Infrastructure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</si>
  <si>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</si>
  <si>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</si>
  <si>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</si>
  <si>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</si>
  <si>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</si>
  <si>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</si>
  <si>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</si>
  <si>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</si>
  <si>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</si>
  <si>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</si>
  <si>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</si>
  <si>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</si>
  <si>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</si>
  <si>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Rate/Unit</t>
  </si>
  <si>
    <t>Total Amount</t>
  </si>
  <si>
    <t>Percentage%</t>
  </si>
  <si>
    <t xml:space="preserve">Pre-harvest </t>
  </si>
  <si>
    <t>Operational days in a year (Days)</t>
  </si>
  <si>
    <t xml:space="preserve">B </t>
  </si>
  <si>
    <t>Post Harvest</t>
  </si>
  <si>
    <t>Others</t>
  </si>
  <si>
    <t>Furniture &amp; Fixture</t>
  </si>
  <si>
    <t>IT &amp; IT Infrastracture</t>
  </si>
  <si>
    <t>Preliminary/Preoperative Expenses</t>
  </si>
  <si>
    <t>Agrikot Ak 9X18 Seed Cum Fertilizer</t>
  </si>
  <si>
    <t>60 Days</t>
  </si>
  <si>
    <t>Post-Harvest</t>
  </si>
  <si>
    <t>Total*</t>
  </si>
  <si>
    <t>Whole Year</t>
  </si>
  <si>
    <t>* Excluding Working Capital</t>
  </si>
  <si>
    <t>240 Days</t>
  </si>
  <si>
    <t>IT &amp; IT Infrastructure</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</si>
  <si>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</si>
  <si>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</si>
  <si>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</si>
  <si>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</si>
  <si>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</si>
  <si>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</si>
  <si>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</si>
  <si>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</si>
  <si>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</si>
  <si>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</si>
  <si>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</si>
  <si>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</si>
  <si>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</si>
  <si>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</si>
  <si>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</si>
  <si>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</si>
  <si>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</si>
  <si>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</si>
  <si>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</si>
  <si>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</si>
  <si>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</si>
  <si>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</si>
  <si>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</si>
  <si>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</si>
  <si>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</si>
  <si>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</si>
  <si>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</si>
  <si>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</si>
  <si>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</si>
  <si>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</si>
  <si>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</si>
  <si>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</si>
  <si>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</si>
  <si>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</si>
  <si>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</si>
  <si>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</si>
  <si>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</si>
  <si>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</si>
  <si>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</si>
  <si>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</si>
  <si>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</si>
  <si>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</si>
  <si>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</si>
  <si>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</si>
  <si>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</si>
  <si>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</si>
  <si>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</si>
  <si>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</si>
  <si>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</si>
  <si>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</si>
  <si>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</si>
  <si>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</si>
  <si>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</si>
  <si>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</si>
  <si>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</si>
  <si>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</si>
  <si>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</si>
  <si>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</si>
  <si>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</si>
  <si>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</si>
  <si>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</si>
  <si>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</si>
  <si>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</si>
  <si>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</si>
  <si>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</si>
  <si>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</si>
  <si>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</si>
  <si>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</si>
  <si>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</si>
  <si>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</si>
  <si>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</si>
  <si>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</si>
  <si>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</si>
  <si>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</si>
  <si>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</si>
  <si>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</si>
  <si>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</si>
  <si>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</si>
  <si>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Year 7</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</si>
  <si>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</si>
  <si>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</si>
  <si>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</si>
  <si>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</si>
  <si>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</si>
  <si>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</si>
  <si>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</si>
  <si>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</si>
  <si>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</si>
  <si>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</si>
  <si>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Bengal Gram</t>
  </si>
  <si>
    <t>Red Gram</t>
  </si>
  <si>
    <t>Black Gram</t>
  </si>
  <si>
    <t>Green Gram</t>
  </si>
  <si>
    <t>Pomegranate</t>
  </si>
  <si>
    <t>Purachse Price</t>
  </si>
  <si>
    <t>Purchase Price</t>
  </si>
  <si>
    <t>Closing Stock</t>
  </si>
  <si>
    <t>Total Cost of Production</t>
  </si>
  <si>
    <t>Cleaning &amp; Grading</t>
  </si>
  <si>
    <t>Roasted Channa</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</si>
  <si>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</si>
  <si>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</si>
  <si>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</si>
  <si>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</si>
  <si>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</si>
  <si>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Custom Hiring</t>
  </si>
  <si>
    <t>Warehouse</t>
  </si>
  <si>
    <t>Accounts Payable &amp; Accrued Expenses (Creditors)</t>
  </si>
  <si>
    <t>Own Contribution</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</si>
  <si>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</si>
  <si>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</si>
  <si>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</si>
  <si>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</si>
  <si>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</si>
  <si>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</si>
  <si>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</si>
  <si>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Activity 1 - Flour Mill</t>
  </si>
  <si>
    <t>Activity 2 - Cleaning &amp; Grading Unit</t>
  </si>
  <si>
    <t>Faclitiy 3 - Warehouse</t>
  </si>
  <si>
    <t xml:space="preserve">Faclitiy 4 - Custom Hiring </t>
  </si>
  <si>
    <t>Faclitiy 5 - Agri Input Centre</t>
  </si>
  <si>
    <t>Facility 4 - Roasted Channa</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</si>
  <si>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</si>
  <si>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</si>
  <si>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</si>
  <si>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</si>
  <si>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</si>
  <si>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</si>
  <si>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</si>
  <si>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</si>
  <si>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</si>
  <si>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</si>
  <si>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</si>
  <si>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</si>
  <si>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</si>
  <si>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</si>
  <si>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</si>
  <si>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</si>
  <si>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</si>
  <si>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</si>
  <si>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</si>
  <si>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</si>
  <si>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</si>
  <si>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</si>
  <si>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</si>
  <si>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</si>
  <si>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</si>
  <si>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</si>
  <si>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</si>
  <si>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</si>
  <si>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</si>
  <si>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</si>
  <si>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</si>
  <si>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</si>
  <si>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</si>
  <si>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</si>
  <si>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</si>
  <si>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</si>
  <si>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</si>
  <si>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</si>
  <si>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</si>
  <si>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</si>
  <si>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</si>
  <si>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</si>
  <si>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</si>
  <si>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</si>
  <si>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</si>
  <si>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</si>
  <si>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</si>
  <si>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</si>
  <si>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</si>
  <si>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</si>
  <si>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Total Revnue</t>
  </si>
  <si>
    <t>Equity/ Share capital</t>
  </si>
  <si>
    <t>Reivestment</t>
  </si>
  <si>
    <t>Grant</t>
  </si>
  <si>
    <t>Long Term Loan</t>
  </si>
  <si>
    <t>Incease in Short Term Loan</t>
  </si>
  <si>
    <t>Increase in account rpayable</t>
  </si>
  <si>
    <t>Sub Total (A)</t>
  </si>
  <si>
    <t>Cash Outflow (Rs.)</t>
  </si>
  <si>
    <t>Capital Expenditure</t>
  </si>
  <si>
    <t>It Infrastructure</t>
  </si>
  <si>
    <t>e</t>
  </si>
  <si>
    <t>f</t>
  </si>
  <si>
    <t>Premilinary Expenses</t>
  </si>
  <si>
    <t>Operational Expenditure</t>
  </si>
  <si>
    <t>Loan Repayment</t>
  </si>
  <si>
    <t>LTL - Principal</t>
  </si>
  <si>
    <t>LTL - Interest</t>
  </si>
  <si>
    <t>STL - Principal</t>
  </si>
  <si>
    <t>STL - Interest</t>
  </si>
  <si>
    <t>Tax</t>
  </si>
  <si>
    <t>Increase in account Receivable</t>
  </si>
  <si>
    <t>Increase in Closing Stock</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</si>
  <si>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</si>
  <si>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</si>
  <si>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</si>
  <si>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</si>
  <si>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</si>
  <si>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</si>
  <si>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</si>
  <si>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</si>
  <si>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</si>
  <si>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</si>
  <si>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</si>
  <si>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</si>
  <si>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</si>
  <si>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</si>
  <si>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</si>
  <si>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</si>
  <si>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</si>
  <si>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</si>
  <si>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</si>
  <si>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</si>
  <si>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</si>
  <si>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</si>
  <si>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</si>
  <si>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</si>
  <si>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</si>
  <si>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</si>
  <si>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</si>
  <si>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</si>
  <si>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</si>
  <si>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</si>
  <si>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</si>
  <si>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</si>
  <si>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</si>
  <si>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</si>
  <si>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</si>
  <si>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</si>
  <si>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</si>
  <si>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</si>
  <si>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</si>
  <si>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</si>
  <si>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</si>
  <si>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</si>
  <si>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</si>
  <si>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</si>
  <si>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</si>
  <si>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</si>
  <si>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</si>
  <si>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</si>
  <si>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</si>
  <si>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</si>
  <si>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</si>
  <si>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</si>
  <si>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</si>
  <si>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</si>
  <si>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</si>
  <si>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</si>
  <si>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</si>
  <si>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</si>
  <si>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</si>
  <si>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</si>
  <si>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</si>
  <si>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</si>
  <si>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</si>
  <si>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</si>
  <si>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</si>
  <si>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</si>
  <si>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</si>
  <si>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</si>
  <si>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</si>
  <si>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</si>
  <si>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</si>
  <si>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</si>
  <si>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</si>
  <si>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</si>
  <si>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</si>
  <si>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Trading</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</si>
  <si>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</si>
  <si>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</si>
  <si>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</si>
  <si>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</si>
  <si>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</si>
  <si>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</si>
  <si>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</si>
  <si>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</si>
  <si>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</si>
  <si>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</si>
  <si>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</si>
  <si>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</si>
  <si>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</si>
  <si>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</si>
  <si>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</si>
  <si>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</si>
  <si>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</si>
  <si>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</si>
  <si>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</si>
  <si>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</si>
  <si>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</si>
  <si>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</si>
  <si>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</si>
  <si>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</si>
  <si>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</si>
  <si>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</si>
  <si>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</si>
  <si>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</si>
  <si>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</si>
  <si>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</si>
  <si>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</si>
  <si>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</si>
  <si>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</si>
  <si>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</si>
  <si>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</si>
  <si>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</si>
  <si>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</si>
  <si>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</si>
  <si>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</si>
  <si>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</si>
  <si>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</si>
  <si>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</si>
  <si>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</si>
  <si>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</si>
  <si>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</si>
  <si>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</si>
  <si>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</si>
  <si>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</si>
  <si>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</si>
  <si>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</si>
  <si>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</si>
  <si>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</si>
  <si>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</si>
  <si>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</si>
  <si>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</si>
  <si>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</si>
  <si>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</si>
  <si>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</si>
  <si>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</si>
  <si>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</si>
  <si>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</si>
  <si>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Flour Mill</t>
  </si>
  <si>
    <t>12.1 Producers/ Capacity Utilization</t>
  </si>
  <si>
    <t>Tentative Wastage Percentage</t>
  </si>
  <si>
    <t>Quinatal/Hour</t>
  </si>
  <si>
    <t>Commodity</t>
  </si>
  <si>
    <t>Percentage</t>
  </si>
  <si>
    <t>No. of Hours</t>
  </si>
  <si>
    <t>Grains</t>
  </si>
  <si>
    <t>Fruit and Vegetables</t>
  </si>
  <si>
    <t>No.of Operation Days</t>
  </si>
  <si>
    <t>Total Grains Quantity to be Processed</t>
  </si>
  <si>
    <t>Total F &amp; V Quantity to be Processed</t>
  </si>
  <si>
    <t xml:space="preserve">Job Work for Grains </t>
  </si>
  <si>
    <t>Quanity for trading of Grains</t>
  </si>
  <si>
    <t>Job Work (50%)</t>
  </si>
  <si>
    <t>Quantity for sale (50%)</t>
  </si>
  <si>
    <t>Output</t>
  </si>
  <si>
    <t>Wheat Flour</t>
  </si>
  <si>
    <t>12.2 Facility 1 - Profit and loss of Flour Mill</t>
  </si>
  <si>
    <t>Jawar Flour - 50 Kg</t>
  </si>
  <si>
    <t>10 Kg</t>
  </si>
  <si>
    <t>Wheat Flour - 50 Kg</t>
  </si>
  <si>
    <t>50 Kg</t>
  </si>
  <si>
    <t>Expenses</t>
  </si>
  <si>
    <t>Quintals</t>
  </si>
  <si>
    <t>Daily Lobour</t>
  </si>
  <si>
    <t>Electricity Charges</t>
  </si>
  <si>
    <t>Machine Mainteance</t>
  </si>
  <si>
    <t>Loading &amp; Unloading</t>
  </si>
  <si>
    <t>Packaging Expenses</t>
  </si>
  <si>
    <t xml:space="preserve">Outword- Transportation Cost </t>
  </si>
  <si>
    <t>Add: Opening Stock</t>
  </si>
  <si>
    <t>Less: Closing Stock</t>
  </si>
  <si>
    <t>Machine Operator</t>
  </si>
  <si>
    <t>Support Staff</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</si>
  <si>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</si>
  <si>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</si>
  <si>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</si>
  <si>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</si>
  <si>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</si>
  <si>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</si>
  <si>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</si>
  <si>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Cleaning &amp; Grading Unit</t>
  </si>
  <si>
    <t>13.1 Producers/ Capacity Utilization</t>
  </si>
  <si>
    <t>Qtls P Hour</t>
  </si>
  <si>
    <t>No. of Operation Days</t>
  </si>
  <si>
    <t>Total Quantity to be Processed</t>
  </si>
  <si>
    <t>Quanity for Processing and Trading for PC</t>
  </si>
  <si>
    <t>Output (KG)</t>
  </si>
  <si>
    <t>Dal (80%)</t>
  </si>
  <si>
    <t>Husk and Powder</t>
  </si>
  <si>
    <t>5 Kg</t>
  </si>
  <si>
    <t>Packaging (In Kg)</t>
  </si>
  <si>
    <t>13.2 Facility 2 - Profit and loss of Cleaning &amp; Grading Unit</t>
  </si>
  <si>
    <t>Job Work</t>
  </si>
  <si>
    <t xml:space="preserve">Daily Labour </t>
  </si>
  <si>
    <t>packaging Exp- Oil Packaging</t>
  </si>
  <si>
    <t>Transportation Charges</t>
  </si>
  <si>
    <t>Total expenses</t>
  </si>
  <si>
    <t>Operating Profit</t>
  </si>
  <si>
    <t>This sheet provide details capacity utilization of machines and also sale, expenses and operating profit of Dal Mill activity</t>
  </si>
  <si>
    <t>Note</t>
  </si>
  <si>
    <t>The above sheet is indicative for any type of processing business of grain commodities  . The FPO has to fill the sheet logically and as per selected commodities and finish products</t>
  </si>
  <si>
    <t xml:space="preserve">As Finished Product and  size of Packaging is not confirmed/certain, therefore we can not add formula in processing sheet </t>
  </si>
  <si>
    <t>Facility 3 - Warehouse</t>
  </si>
  <si>
    <t>14.1 Capacity Utilization</t>
  </si>
  <si>
    <t>MT</t>
  </si>
  <si>
    <t>No.of Month</t>
  </si>
  <si>
    <t>Capacity Utilisation</t>
  </si>
  <si>
    <t>Total Quantity Stored per Annum</t>
  </si>
  <si>
    <t>14.2 Facility 3 - Profit and loss of Warehouse</t>
  </si>
  <si>
    <t>Storage Charges per MT per Month</t>
  </si>
  <si>
    <t>Dunnage</t>
  </si>
  <si>
    <t>Fumigation</t>
  </si>
  <si>
    <t>Eletricity</t>
  </si>
  <si>
    <t>Insurance</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</si>
  <si>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</si>
  <si>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</si>
  <si>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</si>
  <si>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</si>
  <si>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</si>
  <si>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</si>
  <si>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</si>
  <si>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</si>
  <si>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</si>
  <si>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</si>
  <si>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</si>
  <si>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</si>
  <si>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</si>
  <si>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</si>
  <si>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</si>
  <si>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</si>
  <si>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Combine Harvestor</t>
  </si>
  <si>
    <t>Cultivator</t>
  </si>
  <si>
    <t>Rotavator</t>
  </si>
  <si>
    <t>Mobile Threshing</t>
  </si>
  <si>
    <t>15.2 Facility 4 - Profit and loss of Custom Hiring</t>
  </si>
  <si>
    <t xml:space="preserve">Custom Hiring Charges </t>
  </si>
  <si>
    <t>acre</t>
  </si>
  <si>
    <t>Variable Expenses</t>
  </si>
  <si>
    <t>Diesel</t>
  </si>
  <si>
    <t>Litres</t>
  </si>
  <si>
    <t>Daily Labour</t>
  </si>
  <si>
    <t>No. of Days</t>
  </si>
  <si>
    <t>Driver for Tractors</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</si>
  <si>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</si>
  <si>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</si>
  <si>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</si>
  <si>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</si>
  <si>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</si>
  <si>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</si>
  <si>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</si>
  <si>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 requirement per acre (in kg)</t>
  </si>
  <si>
    <t>seed requirement /acre</t>
  </si>
  <si>
    <t>Fertilizers requirment  (in kg)</t>
  </si>
  <si>
    <t>Fert. Req. per kg.</t>
  </si>
  <si>
    <t>SSP</t>
  </si>
  <si>
    <t>Urea</t>
  </si>
  <si>
    <t>DAP</t>
  </si>
  <si>
    <t>Pesticide requirement  (lit)</t>
  </si>
  <si>
    <t>Dupont Coragen</t>
  </si>
  <si>
    <t>Confidor Boyer</t>
  </si>
  <si>
    <t>Facility 5 - Profit and loss of Agri Input</t>
  </si>
  <si>
    <t xml:space="preserve">Revenue from selling to farmers </t>
  </si>
  <si>
    <t>Seeds (Rate/KG)</t>
  </si>
  <si>
    <t>Rate/kg</t>
  </si>
  <si>
    <t>Fertilizer(Rate/KG)</t>
  </si>
  <si>
    <t>Pesticide</t>
  </si>
  <si>
    <t>Rate/lit</t>
  </si>
  <si>
    <t>FPC purchage rate</t>
  </si>
  <si>
    <t>Transportation Cost</t>
  </si>
  <si>
    <t>Rent</t>
  </si>
  <si>
    <t>Agri Input Center Manager</t>
  </si>
  <si>
    <t>Electricty Charges</t>
  </si>
  <si>
    <t>Operating cost</t>
  </si>
  <si>
    <t xml:space="preserve">This sheet provide details of sale, expenses and operating profit of agri input activity </t>
  </si>
  <si>
    <t>Facility 6 - Roasted Channa</t>
  </si>
  <si>
    <t>17.1 Producer/Capacity Utlization</t>
  </si>
  <si>
    <t>Roasted Bengal Gram</t>
  </si>
  <si>
    <t>Pomegranate Arils</t>
  </si>
  <si>
    <t>Pomegranate Juice</t>
  </si>
  <si>
    <t>Pomegranate Powder</t>
  </si>
  <si>
    <t>Pomegranate Arils 1 Kg</t>
  </si>
  <si>
    <t>Pomegranate Juice 1 Ltrs</t>
  </si>
  <si>
    <t>Pomegranate Peel Powder1 Kg</t>
  </si>
  <si>
    <t>17.2 Activity 6 - Profit and loss of Roasted Channa</t>
  </si>
  <si>
    <t>50 KG</t>
  </si>
  <si>
    <t>Quinatals</t>
  </si>
  <si>
    <t>Kg</t>
  </si>
  <si>
    <t>Other Consumbales</t>
  </si>
  <si>
    <t>Loading/Unloading Charges</t>
  </si>
  <si>
    <t>packaging Exp</t>
  </si>
  <si>
    <t>The above sheet is indicative for any type of processing business of F &amp; V commodities . The FPO has to fill the sheet logically and as per selected commodities and finish products</t>
  </si>
  <si>
    <t>Faclitiy 1 - Cleaning &amp; Grading</t>
  </si>
  <si>
    <t>Faclitiy 2 - Processing Unit- Dal Mill</t>
  </si>
  <si>
    <t>Facility 6 - Processing Unit - Horti Commodity</t>
  </si>
  <si>
    <t>Interest on Term loan &amp; WC</t>
  </si>
  <si>
    <t>Month 61</t>
  </si>
  <si>
    <t>Month 62</t>
  </si>
  <si>
    <t>Month 63</t>
  </si>
  <si>
    <t>Month 64</t>
  </si>
  <si>
    <t>Month 65</t>
  </si>
  <si>
    <t>Month 66</t>
  </si>
  <si>
    <t>Month 67</t>
  </si>
  <si>
    <t>Month 68</t>
  </si>
  <si>
    <t>Month 69</t>
  </si>
  <si>
    <t>Month 70</t>
  </si>
  <si>
    <t>Month 71</t>
  </si>
  <si>
    <t>Month 72</t>
  </si>
  <si>
    <t>Month 73</t>
  </si>
  <si>
    <t>Month 74</t>
  </si>
  <si>
    <t>Month 75</t>
  </si>
  <si>
    <t>Month 76</t>
  </si>
  <si>
    <t>Month 77</t>
  </si>
  <si>
    <t>Month 78</t>
  </si>
  <si>
    <t>Month 79</t>
  </si>
  <si>
    <t>Month 80</t>
  </si>
  <si>
    <t>Month 81</t>
  </si>
  <si>
    <t>Month 82</t>
  </si>
  <si>
    <t>Month 83</t>
  </si>
  <si>
    <t>Month 84</t>
  </si>
  <si>
    <r>
      <rPr>
        <b/>
        <sz val="11"/>
        <color rgb="FF000000"/>
        <rFont val="Times New Roman"/>
      </rPr>
      <t>Add</t>
    </r>
    <r>
      <rPr>
        <sz val="11"/>
        <color rgb="FF000000"/>
        <rFont val="Times New Roman"/>
      </rPr>
      <t>: Deprication</t>
    </r>
  </si>
  <si>
    <t>Add: Depreciation</t>
  </si>
  <si>
    <t>Add: Amortization</t>
  </si>
  <si>
    <t>Intwerest on TL</t>
  </si>
  <si>
    <t>Sr. No</t>
  </si>
  <si>
    <t>Land (Acre)</t>
  </si>
  <si>
    <t>Productivity (ton)</t>
  </si>
  <si>
    <t>15-20</t>
  </si>
  <si>
    <t>Benefit to farmer</t>
  </si>
  <si>
    <t>Total Land available for Onion per Acre</t>
  </si>
  <si>
    <t>Current Scenario</t>
  </si>
  <si>
    <t>Average current productivity per acre of Maize(in MT)</t>
  </si>
  <si>
    <t>Total Production of Maize (in MT)</t>
  </si>
  <si>
    <t>Rate of Onion per MT</t>
  </si>
  <si>
    <t>Total Revenue (In Rs.)</t>
  </si>
  <si>
    <t>Cultivation to harvesting expenditure per acres</t>
  </si>
  <si>
    <t>Packaging</t>
  </si>
  <si>
    <t xml:space="preserve">Total Expenditure </t>
  </si>
  <si>
    <t>Net Revenue to Farmers</t>
  </si>
  <si>
    <t>Post Intervention</t>
  </si>
  <si>
    <t>Total Expenditure</t>
  </si>
  <si>
    <t>Increase in Farmers income per acres after FPC intervention</t>
  </si>
  <si>
    <t>#REF!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</si>
</sst>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_);_(* \(#,##0\);_(* &quot;-&quot;??_);_(@_)"/>
    <numFmt numFmtId="165" formatCode="_ * #,##0.00_ ;_ * \-#,##0.00_ ;_ * &quot;-&quot;??_ ;_ @_ "/>
    <numFmt numFmtId="166" formatCode="_-* #,##0_-;\-* #,##0_-;_-* &quot;-&quot;??_-;_-@"/>
    <numFmt numFmtId="167" formatCode="_-* #,##0.00_-;\-* #,##0.00_-;_-* &quot;-&quot;??_-;_-@"/>
    <numFmt numFmtId="168" formatCode="_ * #,##0.0_ ;_ * \-#,##0.0_ ;_ * &quot;-&quot;?_ ;_ @_ "/>
    <numFmt numFmtId="169" formatCode="#,##0_ ;[Red]\-#,##0\ "/>
    <numFmt numFmtId="170" formatCode="#,##0.00_ ;[Red]\-#,##0.00\ "/>
    <numFmt numFmtId="171" formatCode="&quot;Rs.&quot;\ #,##0.00;[Red]&quot;Rs.&quot;\ \-#,##0.00"/>
    <numFmt numFmtId="172" formatCode="0.0"/>
    <numFmt numFmtId="173" formatCode="_(* #,##0.0000_);_(* \(#,##0.0000\);_(* &quot;-&quot;??_);_(@_)"/>
    <numFmt numFmtId="174" formatCode="_ * #,##0_ ;_ * \-#,##0_ ;_ * &quot;-&quot;??_ ;_ @_ "/>
    <numFmt numFmtId="175" formatCode="_ * #,##0.0_ ;_ * \-#,##0.0_ ;_ * &quot;-&quot;??_ ;_ @_ "/>
    <numFmt numFmtId="176" formatCode="0.0%"/>
    <numFmt numFmtId="177" formatCode="_(* #,##0.0_);_(* \(#,##0.0\);_(* &quot;-&quot;??_);_(@_)"/>
  </numFmts>
  <fonts count="59">
    <font>
      <sz val="11"/>
      <name val="Calibri"/>
      <scheme val="minor"/>
    </font>
    <font>
      <sz val="11"/>
      <name val="Calibri"/>
    </font>
    <font>
      <b/>
      <sz val="24"/>
      <name val="Calibri"/>
    </font>
    <font>
      <sz val="11"/>
      <name val="Calibri"/>
    </font>
    <font>
      <b/>
      <u/>
      <sz val="18"/>
      <name val="Calibri"/>
    </font>
    <font>
      <b/>
      <sz val="18"/>
      <name val="Calibri"/>
    </font>
    <font>
      <b/>
      <sz val="11"/>
      <name val="Calibri"/>
    </font>
    <font>
      <b/>
      <sz val="11"/>
      <color rgb="FFC00000"/>
      <name val="Calibri"/>
    </font>
    <font>
      <b/>
      <sz val="14"/>
      <name val="Times New Roman"/>
    </font>
    <font>
      <b/>
      <sz val="10"/>
      <color rgb="FFFFFFFF"/>
      <name val="Times New Roman"/>
    </font>
    <font>
      <sz val="10"/>
      <color rgb="FF000000"/>
      <name val="Times New Roman"/>
    </font>
    <font>
      <sz val="1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name val="Times New Roman"/>
    </font>
    <font>
      <b/>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name val="Calibri"/>
    </font>
    <font>
      <b/>
      <sz val="14"/>
      <name val="Times New Roman"/>
    </font>
    <font>
      <b/>
      <u/>
      <sz val="11"/>
      <color rgb="FF000000"/>
      <name val="Times New Roman"/>
    </font>
    <font>
      <b/>
      <i/>
      <sz val="11"/>
      <color rgb="FF000000"/>
      <name val="Times New Roman"/>
    </font>
    <font>
      <b/>
      <sz val="11"/>
      <name val="Times New Roman"/>
    </font>
    <font>
      <sz val="11"/>
      <name val="Calibri"/>
    </font>
    <font>
      <b/>
      <u/>
      <sz val="11"/>
      <color rgb="FF0000FF"/>
      <name val="Calibri"/>
    </font>
    <font>
      <sz val="11"/>
      <color rgb="FF000000"/>
      <name val="Calibri"/>
    </font>
    <font>
      <sz val="10"/>
      <name val="Times New Roman"/>
    </font>
    <font>
      <b/>
      <sz val="8"/>
      <color rgb="FF202124"/>
      <name val="Arial"/>
    </font>
    <font>
      <b/>
      <sz val="9"/>
      <name val="Arial"/>
    </font>
    <font>
      <b/>
      <sz val="11"/>
      <color rgb="FF272727"/>
      <name val="Garamond"/>
    </font>
    <font>
      <sz val="10"/>
      <color rgb="FF424142"/>
      <name val="Georgia"/>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b/>
      <sz val="14"/>
      <color rgb="FF000000"/>
      <name val="Times New Roman"/>
    </font>
    <font>
      <sz val="13"/>
      <color rgb="FF000000"/>
      <name val="Times New Roman"/>
    </font>
    <font>
      <sz val="12"/>
      <name val="Times New Roman"/>
    </font>
    <font>
      <sz val="13"/>
      <name val="Times New Roman"/>
    </font>
    <font>
      <b/>
      <u/>
      <sz val="11"/>
      <color rgb="FF0000FF"/>
      <name val="Garamond"/>
    </font>
    <font>
      <b/>
      <sz val="11"/>
      <color rgb="FF202122"/>
      <name val="Garamond"/>
    </font>
    <font>
      <b/>
      <sz val="12"/>
      <name val="Times New Roman"/>
    </font>
    <font>
      <sz val="12"/>
      <color rgb="FF000000"/>
      <name val="Times New Roman"/>
    </font>
    <font>
      <sz val="12"/>
      <name val="Times New Roman"/>
    </font>
    <font>
      <b/>
      <sz val="16"/>
      <name val="Calibri"/>
    </font>
    <font>
      <b/>
      <sz val="11"/>
      <color rgb="FF111111"/>
      <name val="Garamond"/>
    </font>
    <font>
      <b/>
      <sz val="11"/>
      <name val="Garamond"/>
    </font>
    <font>
      <sz val="11"/>
      <name val="Garamond"/>
    </font>
    <font>
      <sz val="11"/>
      <color rgb="FFC00000"/>
      <name val="Calibri"/>
    </font>
  </fonts>
  <fills count="14">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
      <patternFill patternType="solid">
        <fgColor rgb="FF7030A0"/>
        <bgColor rgb="FF7030A0"/>
      </patternFill>
    </fill>
    <fill>
      <patternFill patternType="solid">
        <fgColor theme="0" tint="-0.14999847407452621"/>
        <bgColor rgb="FF333300"/>
      </patternFill>
    </fill>
    <fill>
      <patternFill patternType="solid">
        <fgColor theme="0" tint="-0.14999847407452621"/>
        <bgColor indexed="64"/>
      </patternFill>
    </fill>
  </fills>
  <borders count="3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1">
    <xf numFmtId="0" fontId="0" fillId="0" borderId="0"/>
  </cellStyleXfs>
  <cellXfs count="432">
    <xf numFmtId="0" fontId="0" fillId="0" borderId="0" xfId="0"/>
    <xf numFmtId="0" fontId="1" fillId="0" borderId="0" xfId="0" applyFont="1" applyAlignment="1">
      <alignment vertical="center" wrapText="1"/>
    </xf>
    <xf numFmtId="0" fontId="1" fillId="5" borderId="5" xfId="0" applyFont="1" applyFill="1" applyBorder="1" applyAlignment="1">
      <alignment vertical="center" wrapText="1"/>
    </xf>
    <xf numFmtId="0" fontId="1" fillId="6" borderId="5" xfId="0" applyFont="1" applyFill="1" applyBorder="1" applyAlignment="1">
      <alignment vertical="center" wrapText="1"/>
    </xf>
    <xf numFmtId="0" fontId="6" fillId="0" borderId="6" xfId="0" applyFont="1" applyBorder="1" applyAlignment="1">
      <alignment vertical="center" wrapText="1"/>
    </xf>
    <xf numFmtId="0" fontId="6" fillId="7" borderId="6" xfId="0" applyFont="1" applyFill="1" applyBorder="1" applyAlignment="1">
      <alignment vertical="center" wrapText="1"/>
    </xf>
    <xf numFmtId="0" fontId="7" fillId="0" borderId="6"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6" fillId="7" borderId="10" xfId="0" applyFont="1" applyFill="1" applyBorder="1" applyAlignment="1">
      <alignment vertical="center" wrapText="1"/>
    </xf>
    <xf numFmtId="0" fontId="1" fillId="0" borderId="6" xfId="0" applyFont="1" applyBorder="1" applyAlignment="1">
      <alignment horizontal="center" vertical="center" wrapText="1"/>
    </xf>
    <xf numFmtId="0" fontId="9" fillId="8" borderId="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6" xfId="0" applyFont="1" applyBorder="1" applyAlignment="1">
      <alignment vertical="center" wrapText="1"/>
    </xf>
    <xf numFmtId="164" fontId="10" fillId="0" borderId="6" xfId="0" applyNumberFormat="1" applyFont="1" applyBorder="1" applyAlignment="1">
      <alignment vertical="center" wrapText="1"/>
    </xf>
    <xf numFmtId="9" fontId="11" fillId="6" borderId="6" xfId="0" applyNumberFormat="1" applyFont="1" applyFill="1" applyBorder="1"/>
    <xf numFmtId="164" fontId="11" fillId="0" borderId="6" xfId="0" applyNumberFormat="1" applyFont="1" applyBorder="1"/>
    <xf numFmtId="0" fontId="11" fillId="0" borderId="6" xfId="0" applyFont="1" applyBorder="1"/>
    <xf numFmtId="164" fontId="12" fillId="0" borderId="6" xfId="0" applyNumberFormat="1" applyFont="1" applyBorder="1" applyAlignment="1">
      <alignment horizontal="center" vertical="center" wrapText="1"/>
    </xf>
    <xf numFmtId="165" fontId="1" fillId="0" borderId="0" xfId="0" applyNumberFormat="1" applyFont="1"/>
    <xf numFmtId="166" fontId="1" fillId="0" borderId="0" xfId="0" applyNumberFormat="1" applyFont="1"/>
    <xf numFmtId="0" fontId="13" fillId="0" borderId="0" xfId="0" applyFont="1" applyAlignment="1">
      <alignment horizontal="center" wrapText="1"/>
    </xf>
    <xf numFmtId="0" fontId="9" fillId="8" borderId="6" xfId="0" applyFont="1" applyFill="1" applyBorder="1" applyAlignment="1">
      <alignment vertical="center" wrapText="1"/>
    </xf>
    <xf numFmtId="9" fontId="10" fillId="0" borderId="6" xfId="0" applyNumberFormat="1" applyFont="1" applyBorder="1" applyAlignment="1">
      <alignment horizontal="right" vertical="center" wrapText="1"/>
    </xf>
    <xf numFmtId="164" fontId="10" fillId="0" borderId="6" xfId="0" applyNumberFormat="1" applyFont="1" applyBorder="1" applyAlignment="1">
      <alignment horizontal="right" vertical="center" wrapText="1"/>
    </xf>
    <xf numFmtId="166" fontId="10" fillId="0" borderId="6" xfId="0" applyNumberFormat="1" applyFont="1" applyBorder="1" applyAlignment="1">
      <alignment horizontal="right" vertical="center" wrapText="1"/>
    </xf>
    <xf numFmtId="164" fontId="1" fillId="0" borderId="0" xfId="0" applyNumberFormat="1" applyFont="1"/>
    <xf numFmtId="9" fontId="10" fillId="6" borderId="6" xfId="0" applyNumberFormat="1" applyFont="1" applyFill="1" applyBorder="1" applyAlignment="1">
      <alignment horizontal="right" vertical="center" wrapText="1"/>
    </xf>
    <xf numFmtId="166" fontId="12" fillId="0" borderId="6" xfId="0" applyNumberFormat="1" applyFont="1" applyBorder="1" applyAlignment="1">
      <alignment horizontal="right" vertical="center" wrapText="1"/>
    </xf>
    <xf numFmtId="0" fontId="6" fillId="0" borderId="0" xfId="0" applyFont="1" applyAlignment="1">
      <alignment horizontal="center"/>
    </xf>
    <xf numFmtId="0" fontId="9" fillId="9" borderId="6" xfId="0" applyFont="1" applyFill="1" applyBorder="1" applyAlignment="1">
      <alignment horizontal="center" vertical="center" wrapText="1"/>
    </xf>
    <xf numFmtId="0" fontId="9" fillId="9" borderId="6" xfId="0" applyFont="1" applyFill="1" applyBorder="1" applyAlignment="1">
      <alignment horizontal="center" vertical="center"/>
    </xf>
    <xf numFmtId="0" fontId="10" fillId="0" borderId="6" xfId="0" applyFont="1" applyBorder="1" applyAlignment="1">
      <alignment horizontal="center" vertical="center" wrapText="1"/>
    </xf>
    <xf numFmtId="10"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0" fontId="10" fillId="0" borderId="0" xfId="0" applyFont="1" applyAlignment="1">
      <alignment horizontal="left" vertical="center" wrapText="1"/>
    </xf>
    <xf numFmtId="3" fontId="10" fillId="0" borderId="6"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5" fillId="8" borderId="6" xfId="0"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center" vertical="center" wrapText="1"/>
    </xf>
    <xf numFmtId="167" fontId="16" fillId="0" borderId="6" xfId="0" applyNumberFormat="1" applyFont="1" applyBorder="1" applyAlignment="1">
      <alignment horizontal="right" vertical="center" wrapText="1"/>
    </xf>
    <xf numFmtId="0" fontId="17" fillId="0" borderId="6" xfId="0" applyFont="1" applyBorder="1" applyAlignment="1">
      <alignment vertical="center" wrapText="1"/>
    </xf>
    <xf numFmtId="164" fontId="16" fillId="0" borderId="6" xfId="0" applyNumberFormat="1" applyFont="1" applyBorder="1" applyAlignment="1">
      <alignment horizontal="left" vertical="center" wrapText="1"/>
    </xf>
    <xf numFmtId="164" fontId="16" fillId="0" borderId="8" xfId="0" applyNumberFormat="1" applyFont="1" applyBorder="1" applyAlignment="1">
      <alignment vertical="center" wrapText="1"/>
    </xf>
    <xf numFmtId="164" fontId="16" fillId="0" borderId="6" xfId="0" applyNumberFormat="1" applyFont="1" applyBorder="1" applyAlignment="1">
      <alignment vertical="center" wrapText="1"/>
    </xf>
    <xf numFmtId="164" fontId="16" fillId="0" borderId="6" xfId="0" applyNumberFormat="1" applyFont="1" applyBorder="1" applyAlignment="1">
      <alignment horizontal="right" vertical="center" wrapText="1"/>
    </xf>
    <xf numFmtId="168" fontId="1" fillId="0" borderId="0" xfId="0" applyNumberFormat="1" applyFont="1"/>
    <xf numFmtId="166" fontId="18" fillId="0" borderId="6" xfId="0" applyNumberFormat="1" applyFont="1" applyBorder="1" applyAlignment="1">
      <alignment horizontal="right" vertical="center" wrapText="1"/>
    </xf>
    <xf numFmtId="0" fontId="1" fillId="0" borderId="0" xfId="0" applyFont="1" applyAlignment="1">
      <alignment horizontal="center"/>
    </xf>
    <xf numFmtId="0" fontId="19" fillId="0" borderId="6" xfId="0" applyFont="1" applyBorder="1" applyAlignment="1">
      <alignment horizontal="center" vertical="center" wrapText="1"/>
    </xf>
    <xf numFmtId="0" fontId="17" fillId="0" borderId="6" xfId="0" applyFont="1" applyBorder="1"/>
    <xf numFmtId="166" fontId="19" fillId="0" borderId="6" xfId="0" applyNumberFormat="1" applyFont="1" applyBorder="1" applyAlignment="1">
      <alignment horizontal="right" vertical="center" wrapText="1"/>
    </xf>
    <xf numFmtId="0" fontId="17" fillId="5" borderId="6" xfId="0" applyFont="1" applyFill="1" applyBorder="1"/>
    <xf numFmtId="0" fontId="20" fillId="0" borderId="6" xfId="0" applyFont="1" applyBorder="1" applyAlignment="1">
      <alignment horizontal="center" vertical="center" wrapText="1"/>
    </xf>
    <xf numFmtId="0" fontId="20" fillId="0" borderId="6" xfId="0" applyFont="1" applyBorder="1" applyAlignment="1">
      <alignment vertical="center" wrapText="1"/>
    </xf>
    <xf numFmtId="164" fontId="20" fillId="0" borderId="6" xfId="0" applyNumberFormat="1" applyFont="1" applyBorder="1" applyAlignment="1">
      <alignment horizontal="right" vertical="center" wrapText="1"/>
    </xf>
    <xf numFmtId="0" fontId="18" fillId="5" borderId="6" xfId="0" applyFont="1" applyFill="1" applyBorder="1"/>
    <xf numFmtId="0" fontId="1" fillId="0" borderId="0" xfId="0" applyFont="1" applyAlignment="1">
      <alignment wrapText="1"/>
    </xf>
    <xf numFmtId="0" fontId="1" fillId="0" borderId="6" xfId="0" applyFont="1" applyBorder="1"/>
    <xf numFmtId="166" fontId="20" fillId="0" borderId="6" xfId="0" applyNumberFormat="1" applyFont="1" applyBorder="1" applyAlignment="1">
      <alignment horizontal="right" vertical="center" wrapText="1"/>
    </xf>
    <xf numFmtId="0" fontId="6" fillId="0" borderId="6" xfId="0" applyFont="1" applyBorder="1" applyAlignment="1">
      <alignment wrapText="1"/>
    </xf>
    <xf numFmtId="0" fontId="19" fillId="0" borderId="6" xfId="0" applyFont="1" applyBorder="1" applyAlignment="1">
      <alignment vertical="center" wrapText="1"/>
    </xf>
    <xf numFmtId="0" fontId="6" fillId="0" borderId="6" xfId="0" applyFont="1" applyBorder="1"/>
    <xf numFmtId="166" fontId="20" fillId="5" borderId="6" xfId="0" applyNumberFormat="1" applyFont="1" applyFill="1" applyBorder="1" applyAlignment="1">
      <alignment horizontal="right" vertical="center" wrapText="1"/>
    </xf>
    <xf numFmtId="166" fontId="19" fillId="5" borderId="6" xfId="0" applyNumberFormat="1" applyFont="1" applyFill="1" applyBorder="1" applyAlignment="1">
      <alignment horizontal="right" vertical="center" wrapText="1"/>
    </xf>
    <xf numFmtId="167" fontId="1" fillId="0" borderId="0" xfId="0" applyNumberFormat="1" applyFont="1"/>
    <xf numFmtId="0" fontId="21" fillId="8" borderId="6" xfId="0" applyFont="1" applyFill="1" applyBorder="1" applyAlignment="1">
      <alignment vertical="center" wrapText="1"/>
    </xf>
    <xf numFmtId="0" fontId="21" fillId="8"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6" xfId="0" applyFont="1" applyFill="1" applyBorder="1" applyAlignment="1">
      <alignment vertical="center" wrapText="1"/>
    </xf>
    <xf numFmtId="166" fontId="14" fillId="5" borderId="6" xfId="0" applyNumberFormat="1" applyFont="1" applyFill="1" applyBorder="1" applyAlignment="1">
      <alignment horizontal="center" vertical="center" wrapText="1"/>
    </xf>
    <xf numFmtId="166" fontId="14" fillId="5" borderId="6" xfId="0" applyNumberFormat="1" applyFont="1" applyFill="1" applyBorder="1" applyAlignment="1">
      <alignment horizontal="right" vertical="center" wrapText="1"/>
    </xf>
    <xf numFmtId="167" fontId="14" fillId="5" borderId="6" xfId="0" applyNumberFormat="1" applyFont="1" applyFill="1" applyBorder="1" applyAlignment="1">
      <alignment horizontal="center" vertical="center" wrapText="1"/>
    </xf>
    <xf numFmtId="166" fontId="22" fillId="0" borderId="6" xfId="0" applyNumberFormat="1" applyFont="1" applyBorder="1" applyAlignment="1">
      <alignment horizontal="right" vertical="center" wrapText="1"/>
    </xf>
    <xf numFmtId="0" fontId="15" fillId="8" borderId="6" xfId="0" applyFont="1" applyFill="1" applyBorder="1" applyAlignment="1">
      <alignment vertical="center" wrapText="1"/>
    </xf>
    <xf numFmtId="0" fontId="19" fillId="5" borderId="6" xfId="0" applyFont="1" applyFill="1" applyBorder="1" applyAlignment="1">
      <alignment horizontal="center" vertical="center" wrapText="1"/>
    </xf>
    <xf numFmtId="0" fontId="19" fillId="5" borderId="6" xfId="0" applyFont="1" applyFill="1" applyBorder="1" applyAlignment="1">
      <alignment vertical="center" wrapText="1"/>
    </xf>
    <xf numFmtId="166" fontId="19" fillId="5" borderId="6" xfId="0" applyNumberFormat="1" applyFont="1" applyFill="1" applyBorder="1" applyAlignment="1">
      <alignment horizontal="center" vertical="center" wrapText="1"/>
    </xf>
    <xf numFmtId="0" fontId="20" fillId="5" borderId="6" xfId="0" applyFont="1" applyFill="1" applyBorder="1" applyAlignment="1">
      <alignment horizontal="center" vertical="center" wrapText="1"/>
    </xf>
    <xf numFmtId="166" fontId="20" fillId="5" borderId="6" xfId="0" applyNumberFormat="1" applyFont="1" applyFill="1" applyBorder="1" applyAlignment="1">
      <alignment horizontal="center" vertical="center" wrapText="1"/>
    </xf>
    <xf numFmtId="0" fontId="15" fillId="8" borderId="16" xfId="0" applyFont="1" applyFill="1" applyBorder="1" applyAlignment="1">
      <alignment vertical="center" wrapText="1"/>
    </xf>
    <xf numFmtId="0" fontId="15" fillId="8" borderId="17" xfId="0" applyFont="1" applyFill="1" applyBorder="1" applyAlignment="1">
      <alignment horizontal="center" vertical="center" wrapText="1"/>
    </xf>
    <xf numFmtId="0" fontId="19" fillId="0" borderId="18" xfId="0" applyFont="1" applyBorder="1" applyAlignment="1">
      <alignment horizontal="right" vertical="center" wrapText="1"/>
    </xf>
    <xf numFmtId="0" fontId="19" fillId="0" borderId="19" xfId="0" applyFont="1" applyBorder="1" applyAlignment="1">
      <alignment vertical="center" wrapText="1"/>
    </xf>
    <xf numFmtId="166" fontId="19" fillId="0" borderId="19" xfId="0" applyNumberFormat="1" applyFont="1" applyBorder="1" applyAlignment="1">
      <alignment horizontal="right" vertical="center" wrapText="1"/>
    </xf>
    <xf numFmtId="166" fontId="20" fillId="0" borderId="19" xfId="0" applyNumberFormat="1" applyFont="1" applyBorder="1" applyAlignment="1">
      <alignment horizontal="right" vertical="center" wrapText="1"/>
    </xf>
    <xf numFmtId="0" fontId="17" fillId="0" borderId="0" xfId="0" applyFont="1"/>
    <xf numFmtId="9" fontId="17" fillId="0" borderId="0" xfId="0" applyNumberFormat="1" applyFont="1"/>
    <xf numFmtId="10" fontId="17" fillId="0" borderId="0" xfId="0" applyNumberFormat="1" applyFont="1"/>
    <xf numFmtId="0" fontId="18" fillId="8" borderId="6" xfId="0" applyFont="1" applyFill="1" applyBorder="1"/>
    <xf numFmtId="0" fontId="18" fillId="8" borderId="6" xfId="0" applyFont="1" applyFill="1" applyBorder="1" applyAlignment="1">
      <alignment horizontal="center"/>
    </xf>
    <xf numFmtId="164" fontId="17" fillId="0" borderId="6" xfId="0" applyNumberFormat="1" applyFont="1" applyBorder="1"/>
    <xf numFmtId="0" fontId="18" fillId="0" borderId="6" xfId="0" applyFont="1" applyBorder="1"/>
    <xf numFmtId="164" fontId="18" fillId="0" borderId="6" xfId="0" applyNumberFormat="1" applyFont="1" applyBorder="1"/>
    <xf numFmtId="0" fontId="6" fillId="0" borderId="0" xfId="0" applyFont="1"/>
    <xf numFmtId="0" fontId="24" fillId="0" borderId="0" xfId="0" applyFont="1" applyAlignment="1">
      <alignment horizontal="center"/>
    </xf>
    <xf numFmtId="0" fontId="20" fillId="8" borderId="6" xfId="0" applyFont="1" applyFill="1" applyBorder="1"/>
    <xf numFmtId="0" fontId="18" fillId="8" borderId="6" xfId="0" applyFont="1" applyFill="1" applyBorder="1" applyAlignment="1">
      <alignment horizontal="center" wrapText="1"/>
    </xf>
    <xf numFmtId="0" fontId="20" fillId="0" borderId="6" xfId="0" applyFont="1" applyBorder="1" applyAlignment="1">
      <alignment horizontal="center"/>
    </xf>
    <xf numFmtId="0" fontId="26" fillId="0" borderId="6" xfId="0" applyFont="1" applyBorder="1"/>
    <xf numFmtId="0" fontId="27" fillId="0" borderId="6" xfId="0" applyFont="1" applyBorder="1" applyAlignment="1">
      <alignment horizontal="center"/>
    </xf>
    <xf numFmtId="0" fontId="17" fillId="0" borderId="6" xfId="0" applyFont="1" applyBorder="1" applyAlignment="1">
      <alignment horizontal="left"/>
    </xf>
    <xf numFmtId="0" fontId="20" fillId="0" borderId="6" xfId="0" applyFont="1" applyBorder="1" applyAlignment="1">
      <alignment horizontal="left"/>
    </xf>
    <xf numFmtId="166" fontId="16" fillId="0" borderId="6" xfId="0" applyNumberFormat="1" applyFont="1" applyBorder="1"/>
    <xf numFmtId="0" fontId="18" fillId="0" borderId="6" xfId="0" applyFont="1" applyBorder="1" applyAlignment="1">
      <alignment horizontal="left"/>
    </xf>
    <xf numFmtId="166" fontId="28" fillId="0" borderId="6" xfId="0" applyNumberFormat="1" applyFont="1" applyBorder="1"/>
    <xf numFmtId="0" fontId="17" fillId="0" borderId="0" xfId="0" applyFont="1" applyAlignment="1">
      <alignment horizontal="left"/>
    </xf>
    <xf numFmtId="166" fontId="16" fillId="0" borderId="0" xfId="0" applyNumberFormat="1" applyFont="1"/>
    <xf numFmtId="0" fontId="20" fillId="10" borderId="22" xfId="0" applyFont="1" applyFill="1" applyBorder="1" applyAlignment="1">
      <alignment horizontal="left" wrapText="1"/>
    </xf>
    <xf numFmtId="0" fontId="20" fillId="0" borderId="0" xfId="0" applyFont="1" applyAlignment="1">
      <alignment wrapText="1"/>
    </xf>
    <xf numFmtId="0" fontId="20" fillId="0" borderId="0" xfId="0" applyFont="1" applyAlignment="1">
      <alignment horizontal="center"/>
    </xf>
    <xf numFmtId="0" fontId="20" fillId="0" borderId="0" xfId="0" applyFont="1"/>
    <xf numFmtId="0" fontId="17" fillId="0" borderId="0" xfId="0" applyFont="1" applyAlignment="1">
      <alignment wrapText="1"/>
    </xf>
    <xf numFmtId="10" fontId="19" fillId="0" borderId="0" xfId="0" applyNumberFormat="1" applyFont="1"/>
    <xf numFmtId="0" fontId="29" fillId="0" borderId="0" xfId="0" applyFont="1"/>
    <xf numFmtId="0" fontId="30" fillId="0" borderId="0" xfId="0" applyFont="1"/>
    <xf numFmtId="0" fontId="18" fillId="9" borderId="6" xfId="0" applyFont="1" applyFill="1" applyBorder="1" applyAlignment="1">
      <alignment vertical="center"/>
    </xf>
    <xf numFmtId="0" fontId="18" fillId="9" borderId="6" xfId="0" applyFont="1" applyFill="1" applyBorder="1" applyAlignment="1">
      <alignment horizontal="center" vertical="center"/>
    </xf>
    <xf numFmtId="166" fontId="17" fillId="9" borderId="6" xfId="0" applyNumberFormat="1" applyFont="1" applyFill="1" applyBorder="1" applyAlignment="1">
      <alignment horizontal="center"/>
    </xf>
    <xf numFmtId="166" fontId="29" fillId="0" borderId="0" xfId="0" applyNumberFormat="1" applyFont="1"/>
    <xf numFmtId="0" fontId="28" fillId="0" borderId="6" xfId="0" applyFont="1" applyBorder="1" applyAlignment="1">
      <alignment vertical="center"/>
    </xf>
    <xf numFmtId="0" fontId="28" fillId="0" borderId="6" xfId="0" applyFont="1" applyBorder="1" applyAlignment="1">
      <alignment horizontal="center" vertical="center"/>
    </xf>
    <xf numFmtId="0" fontId="28" fillId="0" borderId="6" xfId="0" applyFont="1" applyBorder="1"/>
    <xf numFmtId="0" fontId="16" fillId="0" borderId="6" xfId="0" applyFont="1" applyBorder="1"/>
    <xf numFmtId="166" fontId="24" fillId="0" borderId="0" xfId="0" applyNumberFormat="1" applyFont="1"/>
    <xf numFmtId="38" fontId="24" fillId="0" borderId="0" xfId="0" applyNumberFormat="1" applyFont="1" applyAlignment="1">
      <alignment horizontal="left"/>
    </xf>
    <xf numFmtId="0" fontId="24" fillId="0" borderId="0" xfId="0" applyFont="1"/>
    <xf numFmtId="0" fontId="19" fillId="0" borderId="6" xfId="0" applyFont="1" applyBorder="1"/>
    <xf numFmtId="169" fontId="16" fillId="0" borderId="6" xfId="0" applyNumberFormat="1" applyFont="1" applyBorder="1" applyAlignment="1">
      <alignment vertical="center"/>
    </xf>
    <xf numFmtId="170" fontId="24" fillId="0" borderId="0" xfId="0" applyNumberFormat="1" applyFont="1" applyAlignment="1">
      <alignment vertical="center"/>
    </xf>
    <xf numFmtId="0" fontId="20" fillId="0" borderId="6" xfId="0" applyFont="1" applyBorder="1"/>
    <xf numFmtId="169" fontId="28" fillId="0" borderId="6" xfId="0" applyNumberFormat="1" applyFont="1" applyBorder="1" applyAlignment="1">
      <alignment vertical="center"/>
    </xf>
    <xf numFmtId="0" fontId="31" fillId="0" borderId="23" xfId="0" applyFont="1" applyBorder="1"/>
    <xf numFmtId="0" fontId="24" fillId="0" borderId="23" xfId="0" applyFont="1" applyBorder="1"/>
    <xf numFmtId="9" fontId="24" fillId="6" borderId="22" xfId="0" applyNumberFormat="1" applyFont="1" applyFill="1" applyBorder="1"/>
    <xf numFmtId="0" fontId="6" fillId="9" borderId="6" xfId="0" applyFont="1" applyFill="1" applyBorder="1"/>
    <xf numFmtId="0" fontId="21" fillId="9" borderId="16" xfId="0" applyFont="1" applyFill="1" applyBorder="1" applyAlignment="1">
      <alignment vertical="center"/>
    </xf>
    <xf numFmtId="0" fontId="21" fillId="9" borderId="17" xfId="0" applyFont="1" applyFill="1" applyBorder="1" applyAlignment="1">
      <alignment vertical="center"/>
    </xf>
    <xf numFmtId="164" fontId="1" fillId="0" borderId="6" xfId="0" applyNumberFormat="1" applyFont="1" applyBorder="1"/>
    <xf numFmtId="10" fontId="1" fillId="0" borderId="6" xfId="0" applyNumberFormat="1" applyFont="1" applyBorder="1" applyAlignment="1">
      <alignment vertical="center"/>
    </xf>
    <xf numFmtId="0" fontId="22" fillId="0" borderId="18" xfId="0" applyFont="1" applyBorder="1" applyAlignment="1">
      <alignment vertical="center"/>
    </xf>
    <xf numFmtId="0" fontId="22" fillId="0" borderId="19" xfId="0" applyFont="1" applyBorder="1" applyAlignment="1">
      <alignment vertical="center"/>
    </xf>
    <xf numFmtId="0" fontId="14" fillId="0" borderId="19" xfId="0" applyFont="1" applyBorder="1" applyAlignment="1">
      <alignment vertical="center"/>
    </xf>
    <xf numFmtId="0" fontId="14" fillId="0" borderId="18" xfId="0" applyFont="1" applyBorder="1" applyAlignment="1">
      <alignment horizontal="right" vertical="center"/>
    </xf>
    <xf numFmtId="0" fontId="14" fillId="0" borderId="19" xfId="0" applyFont="1" applyBorder="1" applyAlignment="1">
      <alignment horizontal="center" vertical="center"/>
    </xf>
    <xf numFmtId="10" fontId="1" fillId="0" borderId="6" xfId="0" applyNumberFormat="1" applyFont="1" applyBorder="1"/>
    <xf numFmtId="10" fontId="1" fillId="0" borderId="7" xfId="0" applyNumberFormat="1" applyFont="1" applyBorder="1" applyAlignment="1">
      <alignment vertical="center"/>
    </xf>
    <xf numFmtId="10" fontId="1" fillId="0" borderId="9" xfId="0" applyNumberFormat="1" applyFont="1" applyBorder="1" applyAlignment="1">
      <alignment vertical="center"/>
    </xf>
    <xf numFmtId="0" fontId="32" fillId="0" borderId="19" xfId="0" applyFont="1" applyBorder="1"/>
    <xf numFmtId="9" fontId="1" fillId="0" borderId="6" xfId="0" applyNumberFormat="1" applyFont="1" applyBorder="1" applyAlignment="1">
      <alignment horizontal="center"/>
    </xf>
    <xf numFmtId="166" fontId="3" fillId="0" borderId="0" xfId="0" applyNumberFormat="1" applyFont="1"/>
    <xf numFmtId="0" fontId="32" fillId="0" borderId="19" xfId="0" applyFont="1" applyBorder="1" applyAlignment="1">
      <alignment horizontal="center"/>
    </xf>
    <xf numFmtId="164" fontId="17" fillId="0" borderId="0" xfId="0" applyNumberFormat="1" applyFont="1"/>
    <xf numFmtId="9" fontId="17" fillId="6" borderId="22" xfId="0" applyNumberFormat="1" applyFont="1" applyFill="1" applyBorder="1"/>
    <xf numFmtId="0" fontId="17" fillId="6" borderId="22" xfId="0" applyFont="1" applyFill="1" applyBorder="1"/>
    <xf numFmtId="171" fontId="17" fillId="0" borderId="0" xfId="0" applyNumberFormat="1" applyFont="1"/>
    <xf numFmtId="170" fontId="17" fillId="0" borderId="0" xfId="0" applyNumberFormat="1" applyFont="1"/>
    <xf numFmtId="0" fontId="18" fillId="8" borderId="6" xfId="0" applyFont="1" applyFill="1" applyBorder="1" applyAlignment="1">
      <alignment horizontal="right"/>
    </xf>
    <xf numFmtId="2" fontId="18" fillId="8" borderId="6" xfId="0" applyNumberFormat="1" applyFont="1" applyFill="1" applyBorder="1" applyAlignment="1">
      <alignment horizontal="right"/>
    </xf>
    <xf numFmtId="2" fontId="1" fillId="0" borderId="0" xfId="0" applyNumberFormat="1" applyFont="1"/>
    <xf numFmtId="2" fontId="17" fillId="0" borderId="0" xfId="0" applyNumberFormat="1" applyFont="1"/>
    <xf numFmtId="0" fontId="8" fillId="0" borderId="0" xfId="0" applyFont="1"/>
    <xf numFmtId="0" fontId="18" fillId="9" borderId="6" xfId="0" applyFont="1" applyFill="1" applyBorder="1"/>
    <xf numFmtId="0" fontId="18" fillId="9" borderId="6" xfId="0" applyFont="1" applyFill="1" applyBorder="1" applyAlignment="1">
      <alignment horizontal="center"/>
    </xf>
    <xf numFmtId="0" fontId="16" fillId="5" borderId="22" xfId="0" applyFont="1" applyFill="1" applyBorder="1"/>
    <xf numFmtId="9" fontId="17" fillId="0" borderId="6" xfId="0" applyNumberFormat="1" applyFont="1" applyBorder="1"/>
    <xf numFmtId="0" fontId="28" fillId="5" borderId="6" xfId="0" applyFont="1" applyFill="1" applyBorder="1"/>
    <xf numFmtId="0" fontId="28" fillId="9" borderId="6" xfId="0" applyFont="1" applyFill="1" applyBorder="1"/>
    <xf numFmtId="0" fontId="16" fillId="5" borderId="6" xfId="0" applyFont="1" applyFill="1" applyBorder="1"/>
    <xf numFmtId="164" fontId="16" fillId="5" borderId="6" xfId="0" applyNumberFormat="1" applyFont="1" applyFill="1" applyBorder="1"/>
    <xf numFmtId="2" fontId="16" fillId="5" borderId="6" xfId="0" applyNumberFormat="1" applyFont="1" applyFill="1" applyBorder="1"/>
    <xf numFmtId="172" fontId="16" fillId="5" borderId="6" xfId="0" applyNumberFormat="1" applyFont="1" applyFill="1" applyBorder="1"/>
    <xf numFmtId="9" fontId="17" fillId="6" borderId="6" xfId="0" applyNumberFormat="1" applyFont="1" applyFill="1" applyBorder="1"/>
    <xf numFmtId="2" fontId="28" fillId="5" borderId="6" xfId="0" applyNumberFormat="1" applyFont="1" applyFill="1" applyBorder="1"/>
    <xf numFmtId="9" fontId="17" fillId="5" borderId="6" xfId="0" applyNumberFormat="1" applyFont="1" applyFill="1" applyBorder="1"/>
    <xf numFmtId="0" fontId="33" fillId="0" borderId="0" xfId="0" applyFont="1"/>
    <xf numFmtId="0" fontId="28" fillId="0" borderId="6" xfId="0" applyFont="1" applyBorder="1" applyAlignment="1">
      <alignment horizontal="center" vertical="center" wrapText="1"/>
    </xf>
    <xf numFmtId="0" fontId="28" fillId="0" borderId="6" xfId="0" applyFont="1" applyBorder="1" applyAlignment="1">
      <alignment horizontal="left" vertical="center" wrapText="1"/>
    </xf>
    <xf numFmtId="164" fontId="16" fillId="0" borderId="6" xfId="0" applyNumberFormat="1" applyFont="1" applyBorder="1" applyAlignment="1">
      <alignment horizontal="center" vertical="center" wrapText="1"/>
    </xf>
    <xf numFmtId="164" fontId="19" fillId="0" borderId="6" xfId="0" applyNumberFormat="1" applyFont="1" applyBorder="1" applyAlignment="1">
      <alignment horizontal="right" vertical="center" wrapText="1"/>
    </xf>
    <xf numFmtId="0" fontId="20" fillId="5" borderId="5" xfId="0" applyFont="1" applyFill="1" applyBorder="1" applyAlignment="1">
      <alignment horizontal="center" vertical="center" wrapText="1"/>
    </xf>
    <xf numFmtId="0" fontId="19" fillId="0" borderId="6" xfId="0" applyFont="1" applyBorder="1" applyAlignment="1">
      <alignment horizontal="right" vertical="center" wrapText="1"/>
    </xf>
    <xf numFmtId="9" fontId="20" fillId="6" borderId="6" xfId="0" applyNumberFormat="1" applyFont="1" applyFill="1" applyBorder="1" applyAlignment="1">
      <alignment horizontal="center" vertical="center" wrapText="1"/>
    </xf>
    <xf numFmtId="9" fontId="1" fillId="0" borderId="0" xfId="0" applyNumberFormat="1" applyFont="1"/>
    <xf numFmtId="164" fontId="3" fillId="0" borderId="0" xfId="0" applyNumberFormat="1" applyFont="1"/>
    <xf numFmtId="0" fontId="36" fillId="0" borderId="0" xfId="0" applyFont="1"/>
    <xf numFmtId="0" fontId="29" fillId="0" borderId="0" xfId="0" applyFont="1" applyAlignment="1">
      <alignment vertical="center"/>
    </xf>
    <xf numFmtId="0" fontId="37" fillId="0" borderId="0" xfId="0" applyFont="1" applyAlignment="1">
      <alignment vertical="center"/>
    </xf>
    <xf numFmtId="0" fontId="24" fillId="0" borderId="0" xfId="0" applyFont="1" applyAlignment="1">
      <alignment vertical="center"/>
    </xf>
    <xf numFmtId="0" fontId="18" fillId="8" borderId="30" xfId="0" applyFont="1" applyFill="1" applyBorder="1" applyAlignment="1">
      <alignment vertical="center"/>
    </xf>
    <xf numFmtId="0" fontId="18" fillId="8" borderId="31" xfId="0" applyFont="1" applyFill="1" applyBorder="1" applyAlignment="1">
      <alignment horizontal="center"/>
    </xf>
    <xf numFmtId="0" fontId="16" fillId="0" borderId="32" xfId="0" applyFont="1" applyBorder="1" applyAlignment="1">
      <alignment vertical="center"/>
    </xf>
    <xf numFmtId="37" fontId="28" fillId="0" borderId="6" xfId="0" applyNumberFormat="1" applyFont="1" applyBorder="1" applyAlignment="1">
      <alignment vertical="center"/>
    </xf>
    <xf numFmtId="3" fontId="38" fillId="0" borderId="6" xfId="0" applyNumberFormat="1" applyFont="1" applyBorder="1" applyAlignment="1">
      <alignment horizontal="right" vertical="center"/>
    </xf>
    <xf numFmtId="0" fontId="39" fillId="0" borderId="32" xfId="0" applyFont="1" applyBorder="1" applyAlignment="1">
      <alignment vertical="center"/>
    </xf>
    <xf numFmtId="4" fontId="16" fillId="0" borderId="6" xfId="0" applyNumberFormat="1" applyFont="1" applyBorder="1" applyAlignment="1">
      <alignment vertical="center"/>
    </xf>
    <xf numFmtId="0" fontId="28" fillId="0" borderId="32" xfId="0" applyFont="1" applyBorder="1" applyAlignment="1">
      <alignment horizontal="left" vertical="center"/>
    </xf>
    <xf numFmtId="4" fontId="40" fillId="0" borderId="6" xfId="0" applyNumberFormat="1" applyFont="1" applyBorder="1" applyAlignment="1">
      <alignment vertical="center"/>
    </xf>
    <xf numFmtId="3" fontId="28" fillId="0" borderId="6" xfId="0" applyNumberFormat="1" applyFont="1" applyBorder="1" applyAlignment="1">
      <alignment vertical="center"/>
    </xf>
    <xf numFmtId="3" fontId="29" fillId="0" borderId="0" xfId="0" applyNumberFormat="1" applyFont="1" applyAlignment="1">
      <alignment vertical="center"/>
    </xf>
    <xf numFmtId="0" fontId="16" fillId="0" borderId="32" xfId="0" applyFont="1" applyBorder="1" applyAlignment="1">
      <alignment horizontal="left" vertical="center"/>
    </xf>
    <xf numFmtId="3" fontId="16" fillId="0" borderId="6" xfId="0" applyNumberFormat="1" applyFont="1" applyBorder="1" applyAlignment="1">
      <alignment vertical="center"/>
    </xf>
    <xf numFmtId="0" fontId="28" fillId="0" borderId="32" xfId="0" applyFont="1" applyBorder="1" applyAlignment="1">
      <alignment vertical="center"/>
    </xf>
    <xf numFmtId="3" fontId="40" fillId="0" borderId="6" xfId="0" applyNumberFormat="1" applyFont="1" applyBorder="1" applyAlignment="1">
      <alignment vertical="center"/>
    </xf>
    <xf numFmtId="3" fontId="38" fillId="0" borderId="6" xfId="0" applyNumberFormat="1" applyFont="1" applyBorder="1" applyAlignment="1">
      <alignment vertical="center"/>
    </xf>
    <xf numFmtId="0" fontId="20" fillId="0" borderId="32" xfId="0" applyFont="1" applyBorder="1" applyAlignment="1">
      <alignment vertical="center"/>
    </xf>
    <xf numFmtId="3" fontId="20" fillId="0" borderId="6" xfId="0" applyNumberFormat="1" applyFont="1" applyBorder="1" applyAlignment="1">
      <alignment vertical="center"/>
    </xf>
    <xf numFmtId="0" fontId="41" fillId="0" borderId="32" xfId="0" applyFont="1" applyBorder="1" applyAlignment="1">
      <alignment vertical="center"/>
    </xf>
    <xf numFmtId="4" fontId="42" fillId="0" borderId="6" xfId="0" applyNumberFormat="1" applyFont="1" applyBorder="1" applyAlignment="1">
      <alignment vertical="center"/>
    </xf>
    <xf numFmtId="0" fontId="43" fillId="0" borderId="32" xfId="0" applyFont="1" applyBorder="1" applyAlignment="1">
      <alignment vertical="center"/>
    </xf>
    <xf numFmtId="4" fontId="43" fillId="0" borderId="6" xfId="0" applyNumberFormat="1" applyFont="1" applyBorder="1" applyAlignment="1">
      <alignment vertical="center"/>
    </xf>
    <xf numFmtId="0" fontId="43" fillId="0" borderId="33" xfId="0" applyFont="1" applyBorder="1" applyAlignment="1">
      <alignment vertical="center"/>
    </xf>
    <xf numFmtId="4" fontId="43" fillId="0" borderId="34" xfId="0" applyNumberFormat="1" applyFont="1" applyBorder="1" applyAlignment="1">
      <alignment vertical="center"/>
    </xf>
    <xf numFmtId="4" fontId="29" fillId="0" borderId="0" xfId="0" applyNumberFormat="1" applyFont="1" applyAlignment="1">
      <alignment vertical="center"/>
    </xf>
    <xf numFmtId="0" fontId="18" fillId="8" borderId="6" xfId="0" applyFont="1" applyFill="1" applyBorder="1" applyAlignment="1">
      <alignment wrapText="1"/>
    </xf>
    <xf numFmtId="0" fontId="20" fillId="0" borderId="6" xfId="0" applyFont="1" applyBorder="1" applyAlignment="1">
      <alignment wrapText="1"/>
    </xf>
    <xf numFmtId="164" fontId="19" fillId="0" borderId="6" xfId="0" applyNumberFormat="1" applyFont="1" applyBorder="1" applyAlignment="1">
      <alignment wrapText="1"/>
    </xf>
    <xf numFmtId="0" fontId="19" fillId="0" borderId="6" xfId="0" applyFont="1" applyBorder="1" applyAlignment="1">
      <alignment horizontal="left" wrapText="1"/>
    </xf>
    <xf numFmtId="164" fontId="20" fillId="0" borderId="6" xfId="0" applyNumberFormat="1" applyFont="1" applyBorder="1" applyAlignment="1">
      <alignment wrapText="1"/>
    </xf>
    <xf numFmtId="0" fontId="19" fillId="0" borderId="6" xfId="0" applyFont="1" applyBorder="1" applyAlignment="1">
      <alignment wrapText="1"/>
    </xf>
    <xf numFmtId="0" fontId="19" fillId="0" borderId="6" xfId="0" applyFont="1" applyBorder="1" applyAlignment="1">
      <alignment horizontal="right" wrapText="1"/>
    </xf>
    <xf numFmtId="166" fontId="19" fillId="0" borderId="6" xfId="0" applyNumberFormat="1" applyFont="1" applyBorder="1" applyAlignment="1">
      <alignment wrapText="1"/>
    </xf>
    <xf numFmtId="0" fontId="20" fillId="0" borderId="6" xfId="0" applyFont="1" applyBorder="1" applyAlignment="1">
      <alignment horizontal="right" wrapText="1"/>
    </xf>
    <xf numFmtId="0" fontId="20" fillId="0" borderId="6" xfId="0" applyFont="1" applyBorder="1" applyAlignment="1">
      <alignment horizontal="left" wrapText="1"/>
    </xf>
    <xf numFmtId="0" fontId="46" fillId="0" borderId="0" xfId="0" applyFont="1"/>
    <xf numFmtId="0" fontId="17" fillId="9" borderId="6" xfId="0" applyFont="1" applyFill="1" applyBorder="1" applyAlignment="1">
      <alignment horizontal="left"/>
    </xf>
    <xf numFmtId="0" fontId="47" fillId="9" borderId="6" xfId="0" applyFont="1" applyFill="1" applyBorder="1" applyAlignment="1">
      <alignment horizontal="center"/>
    </xf>
    <xf numFmtId="4" fontId="19" fillId="0" borderId="6" xfId="0" applyNumberFormat="1" applyFont="1" applyBorder="1"/>
    <xf numFmtId="173" fontId="19" fillId="0" borderId="6" xfId="0" applyNumberFormat="1" applyFont="1" applyBorder="1"/>
    <xf numFmtId="10" fontId="19" fillId="0" borderId="6" xfId="0" applyNumberFormat="1" applyFont="1" applyBorder="1"/>
    <xf numFmtId="0" fontId="19" fillId="0" borderId="6" xfId="0" quotePrefix="1" applyFont="1" applyBorder="1" applyAlignment="1">
      <alignment horizontal="left"/>
    </xf>
    <xf numFmtId="0" fontId="19" fillId="0" borderId="6" xfId="0" applyFont="1" applyBorder="1" applyAlignment="1">
      <alignment horizontal="left"/>
    </xf>
    <xf numFmtId="4" fontId="48" fillId="0" borderId="6" xfId="0" applyNumberFormat="1" applyFont="1" applyBorder="1"/>
    <xf numFmtId="4" fontId="1" fillId="0" borderId="6" xfId="0" applyNumberFormat="1" applyFont="1" applyBorder="1"/>
    <xf numFmtId="4" fontId="1" fillId="0" borderId="0" xfId="0" applyNumberFormat="1" applyFont="1"/>
    <xf numFmtId="10" fontId="1" fillId="0" borderId="0" xfId="0" applyNumberFormat="1" applyFont="1"/>
    <xf numFmtId="0" fontId="19" fillId="0" borderId="0" xfId="0" applyFont="1"/>
    <xf numFmtId="0" fontId="17" fillId="9" borderId="6" xfId="0" applyFont="1" applyFill="1" applyBorder="1"/>
    <xf numFmtId="0" fontId="17" fillId="9" borderId="6" xfId="0" applyFont="1" applyFill="1" applyBorder="1" applyAlignment="1">
      <alignment horizontal="center"/>
    </xf>
    <xf numFmtId="2" fontId="17" fillId="0" borderId="6" xfId="0" applyNumberFormat="1" applyFont="1" applyBorder="1"/>
    <xf numFmtId="0" fontId="18" fillId="0" borderId="0" xfId="0" applyFont="1"/>
    <xf numFmtId="10" fontId="18" fillId="0" borderId="0" xfId="0" applyNumberFormat="1" applyFont="1"/>
    <xf numFmtId="3" fontId="17" fillId="0" borderId="6" xfId="0" applyNumberFormat="1" applyFont="1" applyBorder="1"/>
    <xf numFmtId="0" fontId="17" fillId="0" borderId="6" xfId="0" applyFont="1" applyBorder="1" applyAlignment="1">
      <alignment wrapText="1"/>
    </xf>
    <xf numFmtId="0" fontId="48" fillId="0" borderId="6" xfId="0" applyFont="1" applyBorder="1"/>
    <xf numFmtId="0" fontId="48" fillId="0" borderId="0" xfId="0" applyFont="1"/>
    <xf numFmtId="43" fontId="17" fillId="0" borderId="0" xfId="0" applyNumberFormat="1" applyFont="1"/>
    <xf numFmtId="0" fontId="51" fillId="9" borderId="6" xfId="0" applyFont="1" applyFill="1" applyBorder="1" applyAlignment="1">
      <alignment horizontal="center"/>
    </xf>
    <xf numFmtId="0" fontId="52" fillId="0" borderId="6" xfId="0" applyFont="1" applyBorder="1" applyAlignment="1">
      <alignment horizontal="center"/>
    </xf>
    <xf numFmtId="0" fontId="53" fillId="0" borderId="6" xfId="0" applyFont="1" applyBorder="1" applyAlignment="1">
      <alignment horizontal="center"/>
    </xf>
    <xf numFmtId="0" fontId="18" fillId="0" borderId="6" xfId="0" applyFont="1" applyBorder="1" applyAlignment="1">
      <alignment horizontal="center" vertical="center"/>
    </xf>
    <xf numFmtId="0" fontId="19" fillId="0" borderId="6" xfId="0" applyFont="1" applyBorder="1" applyAlignment="1">
      <alignment horizontal="center"/>
    </xf>
    <xf numFmtId="0" fontId="16" fillId="0" borderId="6" xfId="0" applyFont="1" applyBorder="1" applyAlignment="1">
      <alignment horizontal="center"/>
    </xf>
    <xf numFmtId="164" fontId="19" fillId="0" borderId="6" xfId="0" applyNumberFormat="1" applyFont="1" applyBorder="1" applyAlignment="1">
      <alignment horizontal="center"/>
    </xf>
    <xf numFmtId="0" fontId="1" fillId="0" borderId="6" xfId="0" applyFont="1" applyBorder="1" applyAlignment="1">
      <alignment horizontal="center" vertical="center"/>
    </xf>
    <xf numFmtId="164" fontId="6" fillId="0" borderId="6" xfId="0" applyNumberFormat="1" applyFont="1" applyBorder="1"/>
    <xf numFmtId="2" fontId="6" fillId="0" borderId="0" xfId="0" applyNumberFormat="1" applyFont="1"/>
    <xf numFmtId="2" fontId="18" fillId="0" borderId="6" xfId="0" applyNumberFormat="1" applyFont="1" applyBorder="1"/>
    <xf numFmtId="164" fontId="19" fillId="0" borderId="6" xfId="0" applyNumberFormat="1" applyFont="1" applyBorder="1"/>
    <xf numFmtId="9" fontId="6" fillId="6" borderId="22" xfId="0" applyNumberFormat="1" applyFont="1" applyFill="1" applyBorder="1"/>
    <xf numFmtId="164" fontId="20" fillId="0" borderId="6" xfId="0" applyNumberFormat="1" applyFont="1" applyBorder="1"/>
    <xf numFmtId="174" fontId="19" fillId="0" borderId="0" xfId="0" applyNumberFormat="1" applyFont="1"/>
    <xf numFmtId="174" fontId="19" fillId="0" borderId="6" xfId="0" applyNumberFormat="1" applyFont="1" applyBorder="1"/>
    <xf numFmtId="175" fontId="19" fillId="0" borderId="6" xfId="0" applyNumberFormat="1" applyFont="1" applyBorder="1"/>
    <xf numFmtId="174" fontId="20" fillId="0" borderId="6" xfId="0" applyNumberFormat="1" applyFont="1" applyBorder="1"/>
    <xf numFmtId="0" fontId="55" fillId="0" borderId="0" xfId="0" applyFont="1"/>
    <xf numFmtId="0" fontId="6" fillId="9" borderId="6" xfId="0" applyFont="1" applyFill="1" applyBorder="1" applyAlignment="1">
      <alignment horizontal="center"/>
    </xf>
    <xf numFmtId="0" fontId="1" fillId="5" borderId="6" xfId="0" applyFont="1" applyFill="1" applyBorder="1"/>
    <xf numFmtId="1" fontId="1" fillId="0" borderId="0" xfId="0" applyNumberFormat="1" applyFont="1"/>
    <xf numFmtId="164" fontId="6" fillId="0" borderId="0" xfId="0" applyNumberFormat="1" applyFont="1"/>
    <xf numFmtId="1" fontId="6" fillId="5" borderId="6" xfId="0" applyNumberFormat="1" applyFont="1" applyFill="1" applyBorder="1"/>
    <xf numFmtId="176" fontId="1" fillId="0" borderId="0" xfId="0" applyNumberFormat="1" applyFont="1"/>
    <xf numFmtId="0" fontId="6" fillId="9" borderId="6" xfId="0" applyFont="1" applyFill="1" applyBorder="1" applyAlignment="1">
      <alignment wrapText="1"/>
    </xf>
    <xf numFmtId="0" fontId="6" fillId="0" borderId="23" xfId="0" applyFont="1" applyBorder="1" applyAlignment="1">
      <alignment wrapText="1"/>
    </xf>
    <xf numFmtId="9" fontId="1" fillId="5" borderId="6" xfId="0" applyNumberFormat="1" applyFont="1" applyFill="1" applyBorder="1"/>
    <xf numFmtId="1" fontId="1" fillId="6" borderId="6" xfId="0" applyNumberFormat="1" applyFont="1" applyFill="1" applyBorder="1"/>
    <xf numFmtId="9" fontId="1" fillId="6" borderId="6" xfId="0" applyNumberFormat="1" applyFont="1" applyFill="1" applyBorder="1"/>
    <xf numFmtId="0" fontId="1" fillId="6" borderId="6" xfId="0" applyFont="1" applyFill="1" applyBorder="1"/>
    <xf numFmtId="0" fontId="1" fillId="0" borderId="9" xfId="0" applyFont="1" applyBorder="1" applyAlignment="1">
      <alignment horizontal="center" vertical="center"/>
    </xf>
    <xf numFmtId="0" fontId="1" fillId="0" borderId="8" xfId="0" applyFont="1" applyBorder="1" applyAlignment="1">
      <alignment vertical="center" wrapText="1"/>
    </xf>
    <xf numFmtId="0" fontId="1" fillId="0" borderId="9" xfId="0" applyFont="1" applyBorder="1" applyAlignment="1">
      <alignment vertical="center" wrapText="1"/>
    </xf>
    <xf numFmtId="9" fontId="6" fillId="6" borderId="6" xfId="0" applyNumberFormat="1" applyFont="1" applyFill="1" applyBorder="1"/>
    <xf numFmtId="0" fontId="1" fillId="0" borderId="7" xfId="0" applyFont="1" applyBorder="1"/>
    <xf numFmtId="9" fontId="6" fillId="6" borderId="6" xfId="0" applyNumberFormat="1" applyFont="1" applyFill="1" applyBorder="1" applyAlignment="1">
      <alignment horizontal="center"/>
    </xf>
    <xf numFmtId="176" fontId="1" fillId="6" borderId="6" xfId="0" applyNumberFormat="1" applyFont="1" applyFill="1" applyBorder="1"/>
    <xf numFmtId="0" fontId="6" fillId="5" borderId="6" xfId="0" applyFont="1" applyFill="1" applyBorder="1"/>
    <xf numFmtId="0" fontId="6" fillId="0" borderId="9" xfId="0" applyFont="1" applyBorder="1" applyAlignment="1">
      <alignment horizontal="center" vertical="center"/>
    </xf>
    <xf numFmtId="0" fontId="17" fillId="5" borderId="22" xfId="0" applyFont="1" applyFill="1" applyBorder="1"/>
    <xf numFmtId="9" fontId="1" fillId="0" borderId="6" xfId="0" applyNumberFormat="1" applyFont="1" applyBorder="1"/>
    <xf numFmtId="174" fontId="17" fillId="0" borderId="0" xfId="0" applyNumberFormat="1" applyFont="1"/>
    <xf numFmtId="174" fontId="17" fillId="0" borderId="6" xfId="0" applyNumberFormat="1" applyFont="1" applyBorder="1"/>
    <xf numFmtId="166" fontId="18" fillId="0" borderId="6" xfId="0" applyNumberFormat="1" applyFont="1" applyBorder="1"/>
    <xf numFmtId="0" fontId="18" fillId="6" borderId="6" xfId="0" applyFont="1" applyFill="1" applyBorder="1"/>
    <xf numFmtId="9" fontId="18" fillId="6" borderId="6" xfId="0" applyNumberFormat="1" applyFont="1" applyFill="1" applyBorder="1"/>
    <xf numFmtId="166" fontId="18" fillId="6" borderId="6" xfId="0" applyNumberFormat="1" applyFont="1" applyFill="1" applyBorder="1"/>
    <xf numFmtId="166" fontId="17" fillId="0" borderId="6" xfId="0" applyNumberFormat="1" applyFont="1" applyBorder="1"/>
    <xf numFmtId="165" fontId="17" fillId="0" borderId="6" xfId="0" applyNumberFormat="1" applyFont="1" applyBorder="1"/>
    <xf numFmtId="0" fontId="18" fillId="0" borderId="0" xfId="0" applyFont="1" applyAlignment="1">
      <alignment horizontal="center"/>
    </xf>
    <xf numFmtId="9" fontId="18" fillId="0" borderId="0" xfId="0" applyNumberFormat="1" applyFont="1" applyAlignment="1">
      <alignment horizontal="center"/>
    </xf>
    <xf numFmtId="10" fontId="18" fillId="0" borderId="0" xfId="0" applyNumberFormat="1" applyFont="1" applyAlignment="1">
      <alignment horizontal="center"/>
    </xf>
    <xf numFmtId="165" fontId="17" fillId="0" borderId="0" xfId="0" applyNumberFormat="1" applyFont="1"/>
    <xf numFmtId="1" fontId="17" fillId="0" borderId="0" xfId="0" applyNumberFormat="1" applyFont="1"/>
    <xf numFmtId="1" fontId="17" fillId="0" borderId="6" xfId="0" applyNumberFormat="1" applyFont="1" applyBorder="1"/>
    <xf numFmtId="0" fontId="17" fillId="6" borderId="6" xfId="0" applyFont="1" applyFill="1" applyBorder="1"/>
    <xf numFmtId="164" fontId="18" fillId="5" borderId="6" xfId="0" applyNumberFormat="1" applyFont="1" applyFill="1" applyBorder="1"/>
    <xf numFmtId="174" fontId="18" fillId="0" borderId="6" xfId="0" applyNumberFormat="1" applyFont="1" applyBorder="1"/>
    <xf numFmtId="165" fontId="1" fillId="0" borderId="6" xfId="0" applyNumberFormat="1" applyFont="1" applyBorder="1"/>
    <xf numFmtId="0" fontId="18" fillId="0" borderId="6" xfId="0" applyFont="1" applyBorder="1" applyAlignment="1">
      <alignment wrapText="1"/>
    </xf>
    <xf numFmtId="167" fontId="17" fillId="5" borderId="22" xfId="0" applyNumberFormat="1" applyFont="1" applyFill="1" applyBorder="1"/>
    <xf numFmtId="167" fontId="17" fillId="0" borderId="0" xfId="0" applyNumberFormat="1" applyFont="1"/>
    <xf numFmtId="164" fontId="17" fillId="5" borderId="6" xfId="0" applyNumberFormat="1" applyFont="1" applyFill="1" applyBorder="1"/>
    <xf numFmtId="10" fontId="17" fillId="5" borderId="6" xfId="0" applyNumberFormat="1" applyFont="1" applyFill="1" applyBorder="1"/>
    <xf numFmtId="0" fontId="6" fillId="9" borderId="10" xfId="0" applyFont="1" applyFill="1" applyBorder="1" applyAlignment="1">
      <alignment wrapText="1"/>
    </xf>
    <xf numFmtId="0" fontId="1" fillId="0" borderId="6" xfId="0" applyFont="1" applyBorder="1" applyAlignment="1">
      <alignment horizontal="center"/>
    </xf>
    <xf numFmtId="0" fontId="17" fillId="5" borderId="6" xfId="0" applyFont="1" applyFill="1" applyBorder="1" applyAlignment="1">
      <alignment wrapText="1"/>
    </xf>
    <xf numFmtId="164" fontId="17" fillId="5" borderId="6" xfId="0" applyNumberFormat="1" applyFont="1" applyFill="1" applyBorder="1" applyAlignment="1">
      <alignment wrapText="1"/>
    </xf>
    <xf numFmtId="164" fontId="18" fillId="0" borderId="0" xfId="0" applyNumberFormat="1" applyFont="1"/>
    <xf numFmtId="166" fontId="17" fillId="5" borderId="6" xfId="0" applyNumberFormat="1" applyFont="1" applyFill="1" applyBorder="1"/>
    <xf numFmtId="166" fontId="17" fillId="0" borderId="0" xfId="0" applyNumberFormat="1" applyFont="1"/>
    <xf numFmtId="0" fontId="17" fillId="0" borderId="9" xfId="0" applyFont="1" applyBorder="1"/>
    <xf numFmtId="164" fontId="17" fillId="5" borderId="31" xfId="0" applyNumberFormat="1" applyFont="1" applyFill="1" applyBorder="1"/>
    <xf numFmtId="164" fontId="17" fillId="0" borderId="9" xfId="0" applyNumberFormat="1" applyFont="1" applyBorder="1"/>
    <xf numFmtId="164" fontId="17" fillId="0" borderId="4" xfId="0" applyNumberFormat="1" applyFont="1" applyBorder="1"/>
    <xf numFmtId="164" fontId="18" fillId="0" borderId="6" xfId="0" applyNumberFormat="1" applyFont="1" applyBorder="1" applyAlignment="1">
      <alignment wrapText="1"/>
    </xf>
    <xf numFmtId="164" fontId="17" fillId="0" borderId="6" xfId="0" applyNumberFormat="1" applyFont="1" applyBorder="1" applyAlignment="1">
      <alignment horizontal="right"/>
    </xf>
    <xf numFmtId="169" fontId="28" fillId="0" borderId="6" xfId="0" applyNumberFormat="1" applyFont="1" applyBorder="1" applyAlignment="1">
      <alignment horizontal="right" vertical="center"/>
    </xf>
    <xf numFmtId="2" fontId="18" fillId="0" borderId="0" xfId="0" applyNumberFormat="1" applyFont="1"/>
    <xf numFmtId="9" fontId="56" fillId="11" borderId="6" xfId="0" applyNumberFormat="1" applyFont="1" applyFill="1" applyBorder="1" applyAlignment="1">
      <alignment wrapText="1"/>
    </xf>
    <xf numFmtId="0" fontId="57" fillId="0" borderId="0" xfId="0" applyFont="1"/>
    <xf numFmtId="0" fontId="56" fillId="0" borderId="6" xfId="0" applyFont="1" applyBorder="1"/>
    <xf numFmtId="2" fontId="56" fillId="0" borderId="6" xfId="0" applyNumberFormat="1" applyFont="1" applyBorder="1"/>
    <xf numFmtId="2" fontId="57" fillId="0" borderId="6" xfId="0" applyNumberFormat="1" applyFont="1" applyBorder="1"/>
    <xf numFmtId="164" fontId="56" fillId="0" borderId="6" xfId="0" applyNumberFormat="1" applyFont="1" applyBorder="1"/>
    <xf numFmtId="164" fontId="57" fillId="0" borderId="6" xfId="0" applyNumberFormat="1" applyFont="1" applyBorder="1"/>
    <xf numFmtId="0" fontId="57" fillId="0" borderId="6" xfId="0" applyFont="1" applyBorder="1"/>
    <xf numFmtId="177" fontId="57" fillId="0" borderId="6" xfId="0" applyNumberFormat="1" applyFont="1" applyBorder="1"/>
    <xf numFmtId="43" fontId="57" fillId="0" borderId="6" xfId="0" applyNumberFormat="1" applyFont="1" applyBorder="1"/>
    <xf numFmtId="43" fontId="56" fillId="0" borderId="6" xfId="0" applyNumberFormat="1" applyFont="1" applyBorder="1"/>
    <xf numFmtId="164" fontId="57" fillId="0" borderId="0" xfId="0" applyNumberFormat="1" applyFont="1"/>
    <xf numFmtId="2" fontId="57" fillId="0" borderId="0" xfId="0" applyNumberFormat="1" applyFont="1"/>
    <xf numFmtId="0" fontId="6" fillId="0" borderId="2" xfId="0" applyFont="1" applyBorder="1" applyAlignment="1">
      <alignment horizontal="left" vertical="center" wrapText="1"/>
    </xf>
    <xf numFmtId="0" fontId="3" fillId="0" borderId="3" xfId="0" applyFont="1" applyBorder="1"/>
    <xf numFmtId="0" fontId="3" fillId="0" borderId="4" xfId="0" applyFont="1" applyBorder="1"/>
    <xf numFmtId="0" fontId="1" fillId="0" borderId="8" xfId="0" applyFont="1" applyBorder="1" applyAlignment="1">
      <alignment horizontal="left" vertical="center" wrapText="1"/>
    </xf>
    <xf numFmtId="0" fontId="3" fillId="0" borderId="7" xfId="0" applyFont="1" applyBorder="1"/>
    <xf numFmtId="0" fontId="3" fillId="0" borderId="9" xfId="0" applyFont="1" applyBorder="1"/>
    <xf numFmtId="0" fontId="1"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xf numFmtId="0" fontId="4"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center"/>
    </xf>
    <xf numFmtId="0" fontId="0" fillId="0" borderId="0" xfId="0"/>
    <xf numFmtId="0" fontId="12" fillId="0" borderId="2" xfId="0" applyFont="1" applyBorder="1" applyAlignment="1">
      <alignment horizontal="center" vertical="center" wrapText="1"/>
    </xf>
    <xf numFmtId="0" fontId="6" fillId="0" borderId="0" xfId="0" applyFont="1" applyAlignment="1">
      <alignment horizontal="center"/>
    </xf>
    <xf numFmtId="0" fontId="13" fillId="0" borderId="0" xfId="0" applyFont="1" applyAlignment="1">
      <alignment horizontal="center" wrapText="1"/>
    </xf>
    <xf numFmtId="0" fontId="18"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5"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6" fillId="0" borderId="2" xfId="0" applyFont="1" applyBorder="1" applyAlignment="1">
      <alignment horizontal="center" wrapText="1"/>
    </xf>
    <xf numFmtId="0" fontId="20" fillId="0" borderId="20" xfId="0" applyFont="1" applyBorder="1" applyAlignment="1">
      <alignment horizontal="center" vertical="center" wrapText="1"/>
    </xf>
    <xf numFmtId="0" fontId="3" fillId="0" borderId="21" xfId="0" applyFont="1" applyBorder="1"/>
    <xf numFmtId="0" fontId="23" fillId="0" borderId="0" xfId="0" applyFont="1" applyAlignment="1">
      <alignment horizontal="left" wrapText="1"/>
    </xf>
    <xf numFmtId="0" fontId="6" fillId="6" borderId="13" xfId="0" applyFont="1" applyFill="1" applyBorder="1" applyAlignment="1">
      <alignment horizontal="center"/>
    </xf>
    <xf numFmtId="0" fontId="3" fillId="0" borderId="14" xfId="0" applyFont="1" applyBorder="1"/>
    <xf numFmtId="0" fontId="3" fillId="0" borderId="15" xfId="0" applyFont="1" applyBorder="1"/>
    <xf numFmtId="0" fontId="25" fillId="0" borderId="0" xfId="0" applyFont="1" applyAlignment="1">
      <alignment horizontal="center"/>
    </xf>
    <xf numFmtId="0" fontId="24" fillId="0" borderId="0" xfId="0" applyFont="1" applyAlignment="1">
      <alignment horizontal="center" vertical="center" wrapText="1"/>
    </xf>
    <xf numFmtId="0" fontId="24" fillId="0" borderId="0" xfId="0" applyFont="1" applyAlignment="1">
      <alignment horizontal="center"/>
    </xf>
    <xf numFmtId="0" fontId="18" fillId="0" borderId="1" xfId="0" applyFont="1" applyBorder="1" applyAlignment="1">
      <alignment horizontal="center"/>
    </xf>
    <xf numFmtId="0" fontId="6" fillId="0" borderId="1" xfId="0" applyFont="1" applyBorder="1" applyAlignment="1">
      <alignment horizontal="center"/>
    </xf>
    <xf numFmtId="0" fontId="1" fillId="0" borderId="2" xfId="0" applyFont="1" applyBorder="1" applyAlignment="1">
      <alignment horizontal="center"/>
    </xf>
    <xf numFmtId="10" fontId="1" fillId="0" borderId="8" xfId="0" applyNumberFormat="1" applyFont="1" applyBorder="1" applyAlignment="1">
      <alignment horizontal="center" vertical="center"/>
    </xf>
    <xf numFmtId="10" fontId="1" fillId="0" borderId="8" xfId="0" applyNumberFormat="1" applyFont="1" applyBorder="1" applyAlignment="1">
      <alignment horizontal="center" vertical="center" wrapText="1"/>
    </xf>
    <xf numFmtId="0" fontId="3" fillId="0" borderId="12" xfId="0" applyFont="1" applyBorder="1"/>
    <xf numFmtId="0" fontId="6" fillId="0" borderId="0" xfId="0" applyFont="1" applyAlignment="1">
      <alignment horizontal="center" wrapText="1"/>
    </xf>
    <xf numFmtId="0" fontId="28" fillId="5" borderId="24" xfId="0" applyFont="1" applyFill="1" applyBorder="1" applyAlignment="1">
      <alignment horizontal="center"/>
    </xf>
    <xf numFmtId="0" fontId="3" fillId="0" borderId="25" xfId="0" applyFont="1" applyBorder="1"/>
    <xf numFmtId="0" fontId="3" fillId="0" borderId="26" xfId="0" applyFont="1" applyBorder="1"/>
    <xf numFmtId="0" fontId="28" fillId="5" borderId="13" xfId="0" applyFont="1" applyFill="1" applyBorder="1" applyAlignment="1">
      <alignment horizontal="center"/>
    </xf>
    <xf numFmtId="0" fontId="34" fillId="0" borderId="0" xfId="0" applyFont="1" applyAlignment="1">
      <alignment horizontal="center" wrapText="1"/>
    </xf>
    <xf numFmtId="0" fontId="15" fillId="8" borderId="8" xfId="0" applyFont="1" applyFill="1" applyBorder="1" applyAlignment="1">
      <alignment horizontal="center" vertical="center" wrapText="1"/>
    </xf>
    <xf numFmtId="0" fontId="15" fillId="8" borderId="27"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23" fillId="0" borderId="0" xfId="0" applyFont="1" applyAlignment="1">
      <alignment horizontal="center" wrapText="1"/>
    </xf>
    <xf numFmtId="0" fontId="35" fillId="0" borderId="0" xfId="0" applyFont="1" applyAlignment="1">
      <alignment horizontal="center" wrapText="1"/>
    </xf>
    <xf numFmtId="0" fontId="8" fillId="0" borderId="29" xfId="0" applyFont="1" applyBorder="1" applyAlignment="1">
      <alignment horizontal="center"/>
    </xf>
    <xf numFmtId="0" fontId="44" fillId="0" borderId="0" xfId="0" applyFont="1" applyAlignment="1">
      <alignment horizontal="center" wrapText="1"/>
    </xf>
    <xf numFmtId="0" fontId="20" fillId="0" borderId="2" xfId="0" applyFont="1" applyBorder="1" applyAlignment="1">
      <alignment horizontal="center" wrapText="1"/>
    </xf>
    <xf numFmtId="0" fontId="22" fillId="0" borderId="0" xfId="0" applyFont="1" applyAlignment="1">
      <alignment horizontal="center" wrapText="1"/>
    </xf>
    <xf numFmtId="0" fontId="49" fillId="0" borderId="0" xfId="0" applyFont="1" applyAlignment="1">
      <alignment horizontal="center" wrapText="1"/>
    </xf>
    <xf numFmtId="4" fontId="19" fillId="0" borderId="2" xfId="0" applyNumberFormat="1" applyFont="1" applyBorder="1" applyAlignment="1">
      <alignment horizontal="center"/>
    </xf>
    <xf numFmtId="4" fontId="19" fillId="0" borderId="0" xfId="0" applyNumberFormat="1" applyFont="1" applyAlignment="1">
      <alignment horizontal="center"/>
    </xf>
    <xf numFmtId="0" fontId="23" fillId="0" borderId="0" xfId="0" applyFont="1" applyAlignment="1">
      <alignment horizontal="center"/>
    </xf>
    <xf numFmtId="2" fontId="17" fillId="0" borderId="2" xfId="0" applyNumberFormat="1" applyFont="1" applyBorder="1" applyAlignment="1">
      <alignment horizontal="center"/>
    </xf>
    <xf numFmtId="10" fontId="18" fillId="0" borderId="2" xfId="0" applyNumberFormat="1" applyFont="1" applyBorder="1" applyAlignment="1">
      <alignment horizontal="center"/>
    </xf>
    <xf numFmtId="0" fontId="45" fillId="0" borderId="35" xfId="0" applyFont="1" applyBorder="1" applyAlignment="1">
      <alignment horizontal="center"/>
    </xf>
    <xf numFmtId="0" fontId="45" fillId="0" borderId="0" xfId="0" applyFont="1" applyAlignment="1">
      <alignment horizontal="center"/>
    </xf>
    <xf numFmtId="0" fontId="50" fillId="0" borderId="0" xfId="0" applyFont="1" applyAlignment="1">
      <alignment horizontal="center" wrapText="1"/>
    </xf>
    <xf numFmtId="0" fontId="55" fillId="0" borderId="0" xfId="0" applyFont="1" applyAlignment="1">
      <alignment horizontal="center" wrapText="1"/>
    </xf>
    <xf numFmtId="0" fontId="54" fillId="0" borderId="0" xfId="0" applyFont="1" applyAlignment="1">
      <alignment horizontal="center"/>
    </xf>
    <xf numFmtId="0" fontId="6" fillId="9" borderId="8" xfId="0" applyFont="1" applyFill="1" applyBorder="1" applyAlignment="1">
      <alignment vertical="center"/>
    </xf>
    <xf numFmtId="0" fontId="25" fillId="0" borderId="2" xfId="0" applyFont="1" applyBorder="1" applyAlignment="1">
      <alignment horizontal="center"/>
    </xf>
    <xf numFmtId="0" fontId="1" fillId="9" borderId="8" xfId="0" applyFont="1" applyFill="1" applyBorder="1" applyAlignment="1">
      <alignment horizontal="left" vertical="center"/>
    </xf>
    <xf numFmtId="0" fontId="24" fillId="0" borderId="2" xfId="0" applyFont="1" applyBorder="1" applyAlignment="1">
      <alignment horizontal="center"/>
    </xf>
    <xf numFmtId="0" fontId="8" fillId="0" borderId="1" xfId="0" applyFont="1" applyBorder="1" applyAlignment="1">
      <alignment horizontal="center"/>
    </xf>
    <xf numFmtId="0" fontId="1" fillId="0" borderId="0" xfId="0" applyFont="1" applyAlignment="1">
      <alignment horizontal="center"/>
    </xf>
    <xf numFmtId="0" fontId="1" fillId="0" borderId="8" xfId="0" applyFont="1" applyBorder="1" applyAlignment="1">
      <alignment horizontal="center" vertical="center"/>
    </xf>
    <xf numFmtId="0" fontId="8" fillId="0" borderId="2" xfId="0" applyFont="1" applyBorder="1" applyAlignment="1">
      <alignment horizontal="center"/>
    </xf>
    <xf numFmtId="0" fontId="6" fillId="9" borderId="8" xfId="0" applyFont="1" applyFill="1" applyBorder="1" applyAlignment="1">
      <alignment horizontal="left" vertical="center"/>
    </xf>
    <xf numFmtId="0" fontId="6" fillId="0" borderId="8" xfId="0" applyFont="1" applyBorder="1" applyAlignment="1">
      <alignment horizontal="center" vertical="center" wrapText="1"/>
    </xf>
    <xf numFmtId="0" fontId="56" fillId="11" borderId="2" xfId="0" applyFont="1" applyFill="1" applyBorder="1" applyAlignment="1">
      <alignment horizontal="center" wrapText="1"/>
    </xf>
    <xf numFmtId="0" fontId="3" fillId="0" borderId="36" xfId="0" applyFont="1" applyBorder="1"/>
    <xf numFmtId="0" fontId="10" fillId="0" borderId="6" xfId="0" applyFont="1" applyBorder="1" applyAlignment="1">
      <alignment vertical="center"/>
    </xf>
    <xf numFmtId="0" fontId="6" fillId="12" borderId="6" xfId="0" applyFont="1" applyFill="1" applyBorder="1"/>
    <xf numFmtId="0" fontId="6" fillId="12" borderId="6" xfId="0" applyFont="1" applyFill="1" applyBorder="1" applyAlignment="1">
      <alignment wrapText="1"/>
    </xf>
    <xf numFmtId="0" fontId="0" fillId="13" borderId="0" xfId="0" applyFill="1"/>
    <xf numFmtId="0" fontId="6" fillId="13" borderId="23" xfId="0" applyFont="1" applyFill="1" applyBorder="1" applyAlignment="1">
      <alignment wrapText="1"/>
    </xf>
    <xf numFmtId="0" fontId="6" fillId="12" borderId="6" xfId="0" applyFont="1" applyFill="1" applyBorder="1" applyAlignment="1">
      <alignment horizontal="center"/>
    </xf>
    <xf numFmtId="0" fontId="6" fillId="13" borderId="0" xfId="0" applyFont="1" applyFill="1" applyAlignment="1">
      <alignment horizontal="center"/>
    </xf>
    <xf numFmtId="0" fontId="6" fillId="12" borderId="8" xfId="0" applyFont="1" applyFill="1" applyBorder="1" applyAlignment="1">
      <alignment vertical="center"/>
    </xf>
    <xf numFmtId="0" fontId="3" fillId="13" borderId="9" xfId="0" applyFont="1" applyFill="1" applyBorder="1"/>
    <xf numFmtId="0" fontId="6" fillId="12" borderId="8" xfId="0" applyFont="1" applyFill="1" applyBorder="1" applyAlignment="1">
      <alignment horizontal="left" vertical="center"/>
    </xf>
  </cellXfs>
  <cellStyles count="1">
    <cellStyle name="Normal" xfId="0" builtinId="0"/>
  </cellStyles>
  <dxfs count="4">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ISHVJEET/Vishwajeet/S.M.A.R.T/MCDC/Jangalewadi_A.nagar/Jangalewadi%20PA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ject Cost"/>
      <sheetName val="Summary"/>
      <sheetName val="Revenue-Dairy Farm"/>
      <sheetName val="Revenue-Dairy Processing"/>
      <sheetName val="Assumptions"/>
      <sheetName val="wareshousing"/>
      <sheetName val="Benefit to farmer"/>
      <sheetName val="C&amp; G"/>
      <sheetName val="Custom Hiring"/>
      <sheetName val="Revenue-Warehouse"/>
      <sheetName val="Opex"/>
      <sheetName val="Depreciation"/>
      <sheetName val="Interest"/>
      <sheetName val="Working Capital Requirement"/>
      <sheetName val="Tax"/>
      <sheetName val="P&amp;L"/>
      <sheetName val="CF &amp; BS"/>
      <sheetName val="Ratios"/>
      <sheetName val="Sheet2"/>
      <sheetName val="Sentivity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abSelected="1" workbookViewId="0">
      <selection activeCell="C20" sqref="C20"/>
    </sheetView>
  </sheetViews>
  <sheetFormatPr defaultColWidth="14.42578125" defaultRowHeight="15" customHeight="1"/>
  <cols>
    <col min="1" max="1" width="12.85546875" customWidth="1"/>
    <col min="2" max="2" width="56" customWidth="1"/>
    <col min="3" max="3" width="31.42578125" customWidth="1"/>
    <col min="4" max="4" width="26.42578125" customWidth="1"/>
    <col min="5" max="5" width="29.42578125" customWidth="1"/>
    <col min="6" max="11" width="9.140625" customWidth="1"/>
  </cols>
  <sheetData>
    <row r="1" spans="1:11" ht="14.25" customHeight="1">
      <c r="A1" s="1"/>
      <c r="B1" s="1"/>
      <c r="C1" s="1"/>
      <c r="D1" s="1"/>
      <c r="E1" s="1"/>
      <c r="F1" s="1"/>
      <c r="G1" s="1"/>
      <c r="H1" s="1"/>
      <c r="I1" s="1"/>
      <c r="J1" s="1"/>
      <c r="K1" s="1"/>
    </row>
    <row r="2" spans="1:11" ht="26.25" customHeight="1">
      <c r="A2" s="355" t="s">
        <v>0</v>
      </c>
      <c r="B2" s="356"/>
      <c r="C2" s="356"/>
      <c r="D2" s="356"/>
      <c r="E2" s="356"/>
      <c r="F2" s="1"/>
      <c r="G2" s="1"/>
      <c r="H2" s="1"/>
      <c r="I2" s="1"/>
      <c r="J2" s="1"/>
      <c r="K2" s="1"/>
    </row>
    <row r="3" spans="1:11" ht="26.25" customHeight="1">
      <c r="A3" s="357" t="s">
        <v>1</v>
      </c>
      <c r="B3" s="347"/>
      <c r="C3" s="347"/>
      <c r="D3" s="347"/>
      <c r="E3" s="348"/>
      <c r="F3" s="1"/>
      <c r="G3" s="1"/>
      <c r="H3" s="1"/>
      <c r="I3" s="1"/>
      <c r="J3" s="1"/>
      <c r="K3" s="1"/>
    </row>
    <row r="4" spans="1:11" ht="23.25" customHeight="1">
      <c r="A4" s="354" t="s">
        <v>2</v>
      </c>
      <c r="B4" s="347"/>
      <c r="C4" s="347"/>
      <c r="D4" s="347"/>
      <c r="E4" s="348"/>
      <c r="F4" s="1"/>
      <c r="G4" s="1"/>
      <c r="H4" s="1"/>
      <c r="I4" s="1"/>
      <c r="J4" s="1"/>
      <c r="K4" s="1"/>
    </row>
    <row r="5" spans="1:11" ht="240.75" customHeight="1">
      <c r="A5" s="352" t="s">
        <v>3</v>
      </c>
      <c r="B5" s="347"/>
      <c r="C5" s="347"/>
      <c r="D5" s="347"/>
      <c r="E5" s="348"/>
      <c r="F5" s="1"/>
      <c r="G5" s="1"/>
      <c r="H5" s="1"/>
      <c r="I5" s="1"/>
      <c r="J5" s="1"/>
      <c r="K5" s="1"/>
    </row>
    <row r="6" spans="1:11" ht="23.25" customHeight="1">
      <c r="A6" s="354" t="s">
        <v>4</v>
      </c>
      <c r="B6" s="347"/>
      <c r="C6" s="347"/>
      <c r="D6" s="347"/>
      <c r="E6" s="348"/>
      <c r="F6" s="1"/>
      <c r="G6" s="1"/>
      <c r="H6" s="1"/>
      <c r="I6" s="1"/>
      <c r="J6" s="1"/>
      <c r="K6" s="1"/>
    </row>
    <row r="7" spans="1:11" ht="108" customHeight="1">
      <c r="A7" s="352" t="s">
        <v>5</v>
      </c>
      <c r="B7" s="347"/>
      <c r="C7" s="347"/>
      <c r="D7" s="347"/>
      <c r="E7" s="348"/>
      <c r="F7" s="1"/>
      <c r="G7" s="1"/>
      <c r="H7" s="1"/>
      <c r="I7" s="1"/>
      <c r="J7" s="1"/>
      <c r="K7" s="1"/>
    </row>
    <row r="8" spans="1:11" ht="23.25" customHeight="1">
      <c r="A8" s="353" t="s">
        <v>6</v>
      </c>
      <c r="B8" s="347"/>
      <c r="C8" s="347"/>
      <c r="D8" s="347"/>
      <c r="E8" s="348"/>
      <c r="F8" s="1"/>
      <c r="G8" s="1"/>
      <c r="H8" s="1"/>
      <c r="I8" s="1"/>
      <c r="J8" s="1"/>
      <c r="K8" s="1"/>
    </row>
    <row r="9" spans="1:11" ht="105.75" customHeight="1">
      <c r="A9" s="352" t="s">
        <v>7</v>
      </c>
      <c r="B9" s="347"/>
      <c r="C9" s="347"/>
      <c r="D9" s="347"/>
      <c r="E9" s="348"/>
      <c r="F9" s="1"/>
      <c r="G9" s="1"/>
      <c r="H9" s="1"/>
      <c r="I9" s="1"/>
      <c r="J9" s="1"/>
      <c r="K9" s="1"/>
    </row>
    <row r="10" spans="1:11" ht="14.25" customHeight="1">
      <c r="A10" s="354" t="s">
        <v>8</v>
      </c>
      <c r="B10" s="347"/>
      <c r="C10" s="347"/>
      <c r="D10" s="347"/>
      <c r="E10" s="348"/>
      <c r="F10" s="1"/>
      <c r="G10" s="1"/>
      <c r="H10" s="1"/>
      <c r="I10" s="1"/>
      <c r="J10" s="1"/>
      <c r="K10" s="1"/>
    </row>
    <row r="11" spans="1:11" ht="14.25" customHeight="1">
      <c r="A11" s="1" t="s">
        <v>9</v>
      </c>
      <c r="B11" s="1" t="s">
        <v>10</v>
      </c>
      <c r="C11" s="1"/>
      <c r="D11" s="1"/>
      <c r="E11" s="1"/>
      <c r="F11" s="1"/>
      <c r="G11" s="1"/>
      <c r="H11" s="1"/>
      <c r="I11" s="1"/>
      <c r="J11" s="1"/>
      <c r="K11" s="1"/>
    </row>
    <row r="12" spans="1:11" ht="20.25" customHeight="1">
      <c r="A12" s="2"/>
      <c r="B12" s="346" t="s">
        <v>11</v>
      </c>
      <c r="C12" s="347"/>
      <c r="D12" s="347"/>
      <c r="E12" s="348"/>
      <c r="F12" s="1"/>
      <c r="G12" s="1"/>
      <c r="H12" s="1"/>
      <c r="I12" s="1"/>
      <c r="J12" s="1"/>
      <c r="K12" s="1"/>
    </row>
    <row r="13" spans="1:11" ht="14.25" customHeight="1">
      <c r="A13" s="3"/>
      <c r="B13" s="346" t="s">
        <v>12</v>
      </c>
      <c r="C13" s="347"/>
      <c r="D13" s="347"/>
      <c r="E13" s="348"/>
      <c r="F13" s="1"/>
      <c r="G13" s="1"/>
      <c r="H13" s="1"/>
      <c r="I13" s="1"/>
      <c r="J13" s="1"/>
      <c r="K13" s="1"/>
    </row>
    <row r="14" spans="1:11" ht="14.25" customHeight="1">
      <c r="A14" s="358"/>
      <c r="B14" s="347"/>
      <c r="C14" s="347"/>
      <c r="D14" s="347"/>
      <c r="E14" s="348"/>
      <c r="F14" s="1"/>
      <c r="G14" s="1"/>
      <c r="H14" s="1"/>
      <c r="I14" s="1"/>
      <c r="J14" s="1"/>
      <c r="K14" s="1"/>
    </row>
    <row r="15" spans="1:11" ht="14.25" customHeight="1">
      <c r="A15" s="354" t="s">
        <v>13</v>
      </c>
      <c r="B15" s="347"/>
      <c r="C15" s="347"/>
      <c r="D15" s="347"/>
      <c r="E15" s="348"/>
      <c r="F15" s="1"/>
      <c r="G15" s="1"/>
      <c r="H15" s="1"/>
      <c r="I15" s="1"/>
      <c r="J15" s="1"/>
      <c r="K15" s="1"/>
    </row>
    <row r="16" spans="1:11" ht="14.25" customHeight="1">
      <c r="A16" s="4" t="s">
        <v>14</v>
      </c>
      <c r="B16" s="4" t="s">
        <v>15</v>
      </c>
      <c r="C16" s="4" t="s">
        <v>16</v>
      </c>
      <c r="D16" s="4" t="s">
        <v>17</v>
      </c>
      <c r="E16" s="4" t="s">
        <v>18</v>
      </c>
      <c r="F16" s="1"/>
      <c r="G16" s="1"/>
      <c r="H16" s="1"/>
      <c r="I16" s="1"/>
      <c r="J16" s="1"/>
      <c r="K16" s="1"/>
    </row>
    <row r="17" spans="1:11" ht="14.25" customHeight="1">
      <c r="A17" s="5" t="s">
        <v>19</v>
      </c>
      <c r="B17" s="5" t="s">
        <v>20</v>
      </c>
      <c r="C17" s="5"/>
      <c r="D17" s="5"/>
      <c r="E17" s="5"/>
      <c r="F17" s="1"/>
      <c r="G17" s="1"/>
      <c r="H17" s="1"/>
      <c r="I17" s="1"/>
      <c r="J17" s="1"/>
      <c r="K17" s="1"/>
    </row>
    <row r="18" spans="1:11" ht="14.25" customHeight="1">
      <c r="A18" s="6" t="s">
        <v>21</v>
      </c>
      <c r="B18" s="7" t="s">
        <v>22</v>
      </c>
      <c r="C18" s="7" t="s">
        <v>23</v>
      </c>
      <c r="D18" s="7" t="s">
        <v>24</v>
      </c>
      <c r="E18" s="7"/>
      <c r="F18" s="1"/>
      <c r="G18" s="1"/>
      <c r="H18" s="1"/>
      <c r="I18" s="1"/>
      <c r="J18" s="1"/>
      <c r="K18" s="1"/>
    </row>
    <row r="19" spans="1:11" ht="14.25" customHeight="1">
      <c r="A19" s="6" t="s">
        <v>25</v>
      </c>
      <c r="B19" s="7" t="s">
        <v>26</v>
      </c>
      <c r="C19" s="7" t="s">
        <v>27</v>
      </c>
      <c r="D19" s="7" t="s">
        <v>28</v>
      </c>
      <c r="E19" s="7"/>
      <c r="F19" s="1"/>
      <c r="G19" s="1"/>
      <c r="H19" s="1"/>
      <c r="I19" s="1"/>
      <c r="J19" s="1"/>
      <c r="K19" s="1"/>
    </row>
    <row r="20" spans="1:11" ht="36" customHeight="1">
      <c r="A20" s="6" t="s">
        <v>29</v>
      </c>
      <c r="B20" s="8" t="s">
        <v>30</v>
      </c>
      <c r="C20" s="7" t="s">
        <v>31</v>
      </c>
      <c r="D20" s="7" t="s">
        <v>32</v>
      </c>
      <c r="E20" s="7" t="s">
        <v>33</v>
      </c>
      <c r="F20" s="1"/>
      <c r="G20" s="1"/>
      <c r="H20" s="1"/>
      <c r="I20" s="1"/>
      <c r="J20" s="1"/>
      <c r="K20" s="1"/>
    </row>
    <row r="21" spans="1:11" ht="14.25" customHeight="1">
      <c r="A21" s="6" t="s">
        <v>34</v>
      </c>
      <c r="B21" s="7" t="s">
        <v>35</v>
      </c>
      <c r="C21" s="7"/>
      <c r="D21" s="7"/>
      <c r="E21" s="7"/>
      <c r="F21" s="1"/>
      <c r="G21" s="1"/>
      <c r="H21" s="1"/>
      <c r="I21" s="1"/>
      <c r="J21" s="1"/>
      <c r="K21" s="1"/>
    </row>
    <row r="22" spans="1:11" ht="14.25" customHeight="1">
      <c r="A22" s="7">
        <v>4.0999999999999996</v>
      </c>
      <c r="B22" s="7" t="s">
        <v>36</v>
      </c>
      <c r="C22" s="349" t="s">
        <v>37</v>
      </c>
      <c r="D22" s="7" t="s">
        <v>38</v>
      </c>
      <c r="E22" s="7"/>
      <c r="F22" s="1"/>
      <c r="G22" s="1"/>
      <c r="H22" s="1"/>
      <c r="I22" s="1"/>
      <c r="J22" s="1"/>
      <c r="K22" s="1"/>
    </row>
    <row r="23" spans="1:11" ht="14.25" customHeight="1">
      <c r="A23" s="7">
        <v>4.2</v>
      </c>
      <c r="B23" s="7" t="s">
        <v>39</v>
      </c>
      <c r="C23" s="350"/>
      <c r="D23" s="7" t="s">
        <v>40</v>
      </c>
      <c r="E23" s="7"/>
      <c r="F23" s="1"/>
      <c r="G23" s="1"/>
      <c r="H23" s="1"/>
      <c r="I23" s="1"/>
      <c r="J23" s="1"/>
      <c r="K23" s="1"/>
    </row>
    <row r="24" spans="1:11" ht="14.25" customHeight="1">
      <c r="A24" s="7">
        <v>4.3</v>
      </c>
      <c r="B24" s="7" t="s">
        <v>41</v>
      </c>
      <c r="C24" s="350"/>
      <c r="D24" s="7" t="s">
        <v>42</v>
      </c>
      <c r="E24" s="7"/>
      <c r="F24" s="1"/>
      <c r="G24" s="1"/>
      <c r="H24" s="1"/>
      <c r="I24" s="1"/>
      <c r="J24" s="1"/>
      <c r="K24" s="1"/>
    </row>
    <row r="25" spans="1:11" ht="14.25" customHeight="1">
      <c r="A25" s="7">
        <v>4.4000000000000004</v>
      </c>
      <c r="B25" s="7" t="s">
        <v>43</v>
      </c>
      <c r="C25" s="350"/>
      <c r="D25" s="7" t="s">
        <v>44</v>
      </c>
      <c r="E25" s="7"/>
      <c r="F25" s="1"/>
      <c r="G25" s="1"/>
      <c r="H25" s="1"/>
      <c r="I25" s="1"/>
      <c r="J25" s="1"/>
      <c r="K25" s="1"/>
    </row>
    <row r="26" spans="1:11" ht="14.25" customHeight="1">
      <c r="A26" s="7">
        <v>4.5</v>
      </c>
      <c r="B26" s="7" t="s">
        <v>45</v>
      </c>
      <c r="C26" s="350"/>
      <c r="D26" s="7" t="s">
        <v>46</v>
      </c>
      <c r="E26" s="7"/>
      <c r="F26" s="1"/>
      <c r="G26" s="1"/>
      <c r="H26" s="1"/>
      <c r="I26" s="1"/>
      <c r="J26" s="1"/>
      <c r="K26" s="1"/>
    </row>
    <row r="27" spans="1:11" ht="14.25" customHeight="1">
      <c r="A27" s="7">
        <v>4.5999999999999996</v>
      </c>
      <c r="B27" s="7" t="s">
        <v>47</v>
      </c>
      <c r="C27" s="351"/>
      <c r="D27" s="7" t="s">
        <v>48</v>
      </c>
      <c r="E27" s="7"/>
      <c r="F27" s="1"/>
      <c r="G27" s="1"/>
      <c r="H27" s="1"/>
      <c r="I27" s="1"/>
      <c r="J27" s="1"/>
      <c r="K27" s="1"/>
    </row>
    <row r="28" spans="1:11" ht="14.25" customHeight="1">
      <c r="A28" s="6" t="s">
        <v>49</v>
      </c>
      <c r="B28" s="7" t="s">
        <v>50</v>
      </c>
      <c r="C28" s="7" t="s">
        <v>51</v>
      </c>
      <c r="D28" s="7" t="s">
        <v>52</v>
      </c>
      <c r="E28" s="7"/>
      <c r="F28" s="1"/>
      <c r="G28" s="1"/>
      <c r="H28" s="1"/>
      <c r="I28" s="1"/>
      <c r="J28" s="1"/>
      <c r="K28" s="1"/>
    </row>
    <row r="29" spans="1:11" ht="14.25" customHeight="1">
      <c r="A29" s="6" t="s">
        <v>53</v>
      </c>
      <c r="B29" s="7" t="s">
        <v>54</v>
      </c>
      <c r="C29" s="7" t="s">
        <v>55</v>
      </c>
      <c r="D29" s="7" t="s">
        <v>56</v>
      </c>
      <c r="E29" s="7"/>
      <c r="F29" s="1"/>
      <c r="G29" s="1"/>
      <c r="H29" s="1"/>
      <c r="I29" s="1"/>
      <c r="J29" s="1"/>
      <c r="K29" s="1"/>
    </row>
    <row r="30" spans="1:11" ht="14.25" customHeight="1">
      <c r="A30" s="6" t="s">
        <v>57</v>
      </c>
      <c r="B30" s="7" t="s">
        <v>58</v>
      </c>
      <c r="C30" s="7" t="s">
        <v>59</v>
      </c>
      <c r="D30" s="7" t="s">
        <v>60</v>
      </c>
      <c r="E30" s="7"/>
      <c r="F30" s="1"/>
      <c r="G30" s="1"/>
      <c r="H30" s="1"/>
      <c r="I30" s="1"/>
      <c r="J30" s="1"/>
      <c r="K30" s="1"/>
    </row>
    <row r="31" spans="1:11" ht="14.25" customHeight="1">
      <c r="A31" s="5" t="s">
        <v>61</v>
      </c>
      <c r="B31" s="9" t="s">
        <v>62</v>
      </c>
      <c r="C31" s="5"/>
      <c r="D31" s="5"/>
      <c r="E31" s="5"/>
      <c r="F31" s="1"/>
      <c r="G31" s="1"/>
      <c r="H31" s="1"/>
      <c r="I31" s="1"/>
      <c r="J31" s="1"/>
      <c r="K31" s="1"/>
    </row>
    <row r="32" spans="1:11" ht="26.25" customHeight="1">
      <c r="A32" s="10" t="s">
        <v>63</v>
      </c>
      <c r="B32" s="7" t="s">
        <v>64</v>
      </c>
      <c r="C32" s="7"/>
      <c r="D32" s="7" t="s">
        <v>65</v>
      </c>
      <c r="E32" s="7" t="s">
        <v>33</v>
      </c>
      <c r="F32" s="1"/>
      <c r="G32" s="1"/>
      <c r="H32" s="1"/>
      <c r="I32" s="1"/>
      <c r="J32" s="1"/>
      <c r="K32" s="1"/>
    </row>
    <row r="33" spans="1:11" ht="14.25" customHeight="1">
      <c r="A33" s="10" t="s">
        <v>66</v>
      </c>
      <c r="B33" s="7" t="s">
        <v>67</v>
      </c>
      <c r="C33" s="7"/>
      <c r="D33" s="7" t="s">
        <v>68</v>
      </c>
      <c r="E33" s="7" t="s">
        <v>33</v>
      </c>
      <c r="F33" s="1"/>
      <c r="G33" s="1"/>
      <c r="H33" s="1"/>
      <c r="I33" s="1"/>
      <c r="J33" s="1"/>
      <c r="K33" s="1"/>
    </row>
    <row r="34" spans="1:11" ht="14.25" customHeight="1">
      <c r="A34" s="10" t="s">
        <v>69</v>
      </c>
      <c r="B34" s="7" t="s">
        <v>70</v>
      </c>
      <c r="C34" s="7"/>
      <c r="D34" s="7" t="s">
        <v>71</v>
      </c>
      <c r="E34" s="7" t="s">
        <v>33</v>
      </c>
      <c r="F34" s="1"/>
      <c r="G34" s="1"/>
      <c r="H34" s="1"/>
      <c r="I34" s="1"/>
      <c r="J34" s="1"/>
      <c r="K34" s="1"/>
    </row>
    <row r="35" spans="1:11" ht="35.25" customHeight="1">
      <c r="A35" s="10" t="s">
        <v>72</v>
      </c>
      <c r="B35" s="7" t="s">
        <v>73</v>
      </c>
      <c r="C35" s="7"/>
      <c r="D35" s="7" t="s">
        <v>74</v>
      </c>
      <c r="E35" s="7" t="s">
        <v>33</v>
      </c>
      <c r="F35" s="1"/>
      <c r="G35" s="1"/>
      <c r="H35" s="1"/>
      <c r="I35" s="1"/>
      <c r="J35" s="1"/>
      <c r="K35" s="1"/>
    </row>
    <row r="36" spans="1:11" ht="35.25" customHeight="1">
      <c r="A36" s="10" t="s">
        <v>75</v>
      </c>
      <c r="B36" s="7" t="s">
        <v>76</v>
      </c>
      <c r="C36" s="7"/>
      <c r="D36" s="7" t="s">
        <v>77</v>
      </c>
      <c r="E36" s="7" t="s">
        <v>33</v>
      </c>
      <c r="F36" s="1"/>
      <c r="G36" s="1"/>
      <c r="H36" s="1"/>
      <c r="I36" s="1"/>
      <c r="J36" s="1"/>
      <c r="K36" s="1"/>
    </row>
    <row r="37" spans="1:11" ht="14.25" customHeight="1">
      <c r="A37" s="6" t="s">
        <v>78</v>
      </c>
      <c r="B37" s="7" t="s">
        <v>79</v>
      </c>
      <c r="C37" s="7"/>
      <c r="D37" s="7"/>
      <c r="E37" s="7"/>
      <c r="F37" s="1"/>
      <c r="G37" s="1"/>
      <c r="H37" s="1"/>
      <c r="I37" s="1"/>
      <c r="J37" s="1"/>
      <c r="K37" s="1"/>
    </row>
    <row r="38" spans="1:11" ht="14.25" customHeight="1">
      <c r="A38" s="1"/>
      <c r="B38" s="1"/>
      <c r="C38" s="1"/>
      <c r="D38" s="1"/>
      <c r="E38" s="1"/>
      <c r="F38" s="1"/>
      <c r="G38" s="1"/>
      <c r="H38" s="1"/>
      <c r="I38" s="1"/>
      <c r="J38" s="1"/>
      <c r="K38" s="1"/>
    </row>
    <row r="39" spans="1:11" ht="14.25" customHeight="1">
      <c r="A39" s="1"/>
      <c r="B39" s="1"/>
      <c r="C39" s="1"/>
      <c r="D39" s="1"/>
      <c r="E39" s="1"/>
      <c r="F39" s="1"/>
      <c r="G39" s="1"/>
      <c r="H39" s="1"/>
      <c r="I39" s="1"/>
      <c r="J39" s="1"/>
      <c r="K39" s="1"/>
    </row>
    <row r="40" spans="1:11" ht="14.25" customHeight="1">
      <c r="A40" s="1"/>
      <c r="B40" s="1"/>
      <c r="C40" s="1"/>
      <c r="D40" s="1"/>
      <c r="E40" s="1"/>
      <c r="F40" s="1"/>
      <c r="G40" s="1"/>
      <c r="H40" s="1"/>
      <c r="I40" s="1"/>
      <c r="J40" s="1"/>
      <c r="K40" s="1"/>
    </row>
    <row r="41" spans="1:11" ht="14.25" customHeight="1">
      <c r="A41" s="1"/>
      <c r="B41" s="1"/>
      <c r="C41" s="1"/>
      <c r="D41" s="1"/>
      <c r="E41" s="1"/>
      <c r="F41" s="1"/>
      <c r="G41" s="1"/>
      <c r="H41" s="1"/>
      <c r="I41" s="1"/>
      <c r="J41" s="1"/>
      <c r="K41" s="1"/>
    </row>
    <row r="42" spans="1:11" ht="14.25" customHeight="1">
      <c r="A42" s="1"/>
      <c r="B42" s="1"/>
      <c r="C42" s="1"/>
      <c r="D42" s="1"/>
      <c r="E42" s="1"/>
      <c r="F42" s="1"/>
      <c r="G42" s="1"/>
      <c r="H42" s="1"/>
      <c r="I42" s="1"/>
      <c r="J42" s="1"/>
      <c r="K42" s="1"/>
    </row>
    <row r="43" spans="1:11" ht="14.25" customHeight="1">
      <c r="A43" s="1"/>
      <c r="B43" s="1"/>
      <c r="C43" s="1"/>
      <c r="D43" s="1"/>
      <c r="E43" s="1"/>
      <c r="F43" s="1"/>
      <c r="G43" s="1"/>
      <c r="H43" s="1"/>
      <c r="I43" s="1"/>
      <c r="J43" s="1"/>
      <c r="K43" s="1"/>
    </row>
    <row r="44" spans="1:11" ht="14.25" customHeight="1">
      <c r="A44" s="1"/>
      <c r="B44" s="1"/>
      <c r="C44" s="1"/>
      <c r="D44" s="1"/>
      <c r="E44" s="1"/>
      <c r="F44" s="1"/>
      <c r="G44" s="1"/>
      <c r="H44" s="1"/>
      <c r="I44" s="1"/>
      <c r="J44" s="1"/>
      <c r="K44" s="1"/>
    </row>
    <row r="45" spans="1:11" ht="14.25" customHeight="1">
      <c r="A45" s="1"/>
      <c r="B45" s="1"/>
      <c r="C45" s="1"/>
      <c r="D45" s="1"/>
      <c r="E45" s="1"/>
      <c r="F45" s="1"/>
      <c r="G45" s="1"/>
      <c r="H45" s="1"/>
      <c r="I45" s="1"/>
      <c r="J45" s="1"/>
      <c r="K45" s="1"/>
    </row>
    <row r="46" spans="1:11" ht="14.25" customHeight="1">
      <c r="A46" s="1"/>
      <c r="B46" s="1"/>
      <c r="C46" s="1"/>
      <c r="D46" s="1"/>
      <c r="E46" s="1"/>
      <c r="F46" s="1"/>
      <c r="G46" s="1"/>
      <c r="H46" s="1"/>
      <c r="I46" s="1"/>
      <c r="J46" s="1"/>
      <c r="K46" s="1"/>
    </row>
    <row r="47" spans="1:11" ht="14.25" customHeight="1">
      <c r="A47" s="1"/>
      <c r="B47" s="1"/>
      <c r="C47" s="1"/>
      <c r="D47" s="1"/>
      <c r="E47" s="1"/>
      <c r="F47" s="1"/>
      <c r="G47" s="1"/>
      <c r="H47" s="1"/>
      <c r="I47" s="1"/>
      <c r="J47" s="1"/>
      <c r="K47" s="1"/>
    </row>
    <row r="48" spans="1:11" ht="14.25" customHeight="1">
      <c r="A48" s="1"/>
      <c r="B48" s="1"/>
      <c r="C48" s="1"/>
      <c r="D48" s="1"/>
      <c r="E48" s="1"/>
      <c r="F48" s="1"/>
      <c r="G48" s="1"/>
      <c r="H48" s="1"/>
      <c r="I48" s="1"/>
      <c r="J48" s="1"/>
      <c r="K48" s="1"/>
    </row>
    <row r="49" spans="1:11" ht="14.25" customHeight="1">
      <c r="A49" s="1"/>
      <c r="B49" s="1"/>
      <c r="C49" s="1"/>
      <c r="D49" s="1"/>
      <c r="E49" s="1"/>
      <c r="F49" s="1"/>
      <c r="G49" s="1"/>
      <c r="H49" s="1"/>
      <c r="I49" s="1"/>
      <c r="J49" s="1"/>
      <c r="K49" s="1"/>
    </row>
    <row r="50" spans="1:11" ht="14.25" customHeight="1">
      <c r="A50" s="1"/>
      <c r="B50" s="1"/>
      <c r="C50" s="1"/>
      <c r="D50" s="1"/>
      <c r="E50" s="1"/>
      <c r="F50" s="1"/>
      <c r="G50" s="1"/>
      <c r="H50" s="1"/>
      <c r="I50" s="1"/>
      <c r="J50" s="1"/>
      <c r="K50" s="1"/>
    </row>
    <row r="51" spans="1:11" ht="14.25" customHeight="1">
      <c r="A51" s="1"/>
      <c r="B51" s="1"/>
      <c r="C51" s="1"/>
      <c r="D51" s="1"/>
      <c r="E51" s="1"/>
      <c r="F51" s="1"/>
      <c r="G51" s="1"/>
      <c r="H51" s="1"/>
      <c r="I51" s="1"/>
      <c r="J51" s="1"/>
      <c r="K51" s="1"/>
    </row>
    <row r="52" spans="1:11" ht="14.25" customHeight="1">
      <c r="A52" s="1"/>
      <c r="B52" s="1"/>
      <c r="C52" s="1"/>
      <c r="D52" s="1"/>
      <c r="E52" s="1"/>
      <c r="F52" s="1"/>
      <c r="G52" s="1"/>
      <c r="H52" s="1"/>
      <c r="I52" s="1"/>
      <c r="J52" s="1"/>
      <c r="K52" s="1"/>
    </row>
    <row r="53" spans="1:11" ht="14.25" customHeight="1">
      <c r="A53" s="1"/>
      <c r="B53" s="1"/>
      <c r="C53" s="1"/>
      <c r="D53" s="1"/>
      <c r="E53" s="1"/>
      <c r="F53" s="1"/>
      <c r="G53" s="1"/>
      <c r="H53" s="1"/>
      <c r="I53" s="1"/>
      <c r="J53" s="1"/>
      <c r="K53" s="1"/>
    </row>
    <row r="54" spans="1:11" ht="14.25" customHeight="1">
      <c r="A54" s="1"/>
      <c r="B54" s="1"/>
      <c r="C54" s="1"/>
      <c r="D54" s="1"/>
      <c r="E54" s="1"/>
      <c r="F54" s="1"/>
      <c r="G54" s="1"/>
      <c r="H54" s="1"/>
      <c r="I54" s="1"/>
      <c r="J54" s="1"/>
      <c r="K54" s="1"/>
    </row>
    <row r="55" spans="1:11" ht="14.25" customHeight="1">
      <c r="A55" s="1"/>
      <c r="B55" s="1"/>
      <c r="C55" s="1"/>
      <c r="D55" s="1"/>
      <c r="E55" s="1"/>
      <c r="F55" s="1"/>
      <c r="G55" s="1"/>
      <c r="H55" s="1"/>
      <c r="I55" s="1"/>
      <c r="J55" s="1"/>
      <c r="K55" s="1"/>
    </row>
    <row r="56" spans="1:11" ht="14.25" customHeight="1">
      <c r="A56" s="1"/>
      <c r="B56" s="1"/>
      <c r="C56" s="1"/>
      <c r="D56" s="1"/>
      <c r="E56" s="1"/>
      <c r="F56" s="1"/>
      <c r="G56" s="1"/>
      <c r="H56" s="1"/>
      <c r="I56" s="1"/>
      <c r="J56" s="1"/>
      <c r="K56" s="1"/>
    </row>
    <row r="57" spans="1:11" ht="14.25" customHeight="1">
      <c r="A57" s="1"/>
      <c r="B57" s="1"/>
      <c r="C57" s="1"/>
      <c r="D57" s="1"/>
      <c r="E57" s="1"/>
      <c r="F57" s="1"/>
      <c r="G57" s="1"/>
      <c r="H57" s="1"/>
      <c r="I57" s="1"/>
      <c r="J57" s="1"/>
      <c r="K57" s="1"/>
    </row>
    <row r="58" spans="1:11" ht="14.25" customHeight="1">
      <c r="A58" s="1"/>
      <c r="B58" s="1"/>
      <c r="C58" s="1"/>
      <c r="D58" s="1"/>
      <c r="E58" s="1"/>
      <c r="F58" s="1"/>
      <c r="G58" s="1"/>
      <c r="H58" s="1"/>
      <c r="I58" s="1"/>
      <c r="J58" s="1"/>
      <c r="K58" s="1"/>
    </row>
    <row r="59" spans="1:11" ht="14.25" customHeight="1">
      <c r="A59" s="1"/>
      <c r="B59" s="1"/>
      <c r="C59" s="1"/>
      <c r="D59" s="1"/>
      <c r="E59" s="1"/>
      <c r="F59" s="1"/>
      <c r="G59" s="1"/>
      <c r="H59" s="1"/>
      <c r="I59" s="1"/>
      <c r="J59" s="1"/>
      <c r="K59" s="1"/>
    </row>
    <row r="60" spans="1:11" ht="14.25" customHeight="1">
      <c r="A60" s="1"/>
      <c r="B60" s="1"/>
      <c r="C60" s="1"/>
      <c r="D60" s="1"/>
      <c r="E60" s="1"/>
      <c r="F60" s="1"/>
      <c r="G60" s="1"/>
      <c r="H60" s="1"/>
      <c r="I60" s="1"/>
      <c r="J60" s="1"/>
      <c r="K60" s="1"/>
    </row>
    <row r="61" spans="1:11" ht="14.25" customHeight="1">
      <c r="A61" s="1"/>
      <c r="B61" s="1"/>
      <c r="C61" s="1"/>
      <c r="D61" s="1"/>
      <c r="E61" s="1"/>
      <c r="F61" s="1"/>
      <c r="G61" s="1"/>
      <c r="H61" s="1"/>
      <c r="I61" s="1"/>
      <c r="J61" s="1"/>
      <c r="K61" s="1"/>
    </row>
    <row r="62" spans="1:11" ht="14.25" customHeight="1">
      <c r="A62" s="1"/>
      <c r="B62" s="1"/>
      <c r="C62" s="1"/>
      <c r="D62" s="1"/>
      <c r="E62" s="1"/>
      <c r="F62" s="1"/>
      <c r="G62" s="1"/>
      <c r="H62" s="1"/>
      <c r="I62" s="1"/>
      <c r="J62" s="1"/>
      <c r="K62" s="1"/>
    </row>
    <row r="63" spans="1:11" ht="14.25" customHeight="1">
      <c r="A63" s="1"/>
      <c r="B63" s="1"/>
      <c r="C63" s="1"/>
      <c r="D63" s="1"/>
      <c r="E63" s="1"/>
      <c r="F63" s="1"/>
      <c r="G63" s="1"/>
      <c r="H63" s="1"/>
      <c r="I63" s="1"/>
      <c r="J63" s="1"/>
      <c r="K63" s="1"/>
    </row>
    <row r="64" spans="1:11" ht="14.25" customHeight="1">
      <c r="A64" s="1"/>
      <c r="B64" s="1"/>
      <c r="C64" s="1"/>
      <c r="D64" s="1"/>
      <c r="E64" s="1"/>
      <c r="F64" s="1"/>
      <c r="G64" s="1"/>
      <c r="H64" s="1"/>
      <c r="I64" s="1"/>
      <c r="J64" s="1"/>
      <c r="K64" s="1"/>
    </row>
    <row r="65" spans="1:11" ht="14.25" customHeight="1">
      <c r="A65" s="1"/>
      <c r="B65" s="1"/>
      <c r="C65" s="1"/>
      <c r="D65" s="1"/>
      <c r="E65" s="1"/>
      <c r="F65" s="1"/>
      <c r="G65" s="1"/>
      <c r="H65" s="1"/>
      <c r="I65" s="1"/>
      <c r="J65" s="1"/>
      <c r="K65" s="1"/>
    </row>
    <row r="66" spans="1:11" ht="14.25" customHeight="1">
      <c r="A66" s="1"/>
      <c r="B66" s="1"/>
      <c r="C66" s="1"/>
      <c r="D66" s="1"/>
      <c r="E66" s="1"/>
      <c r="F66" s="1"/>
      <c r="G66" s="1"/>
      <c r="H66" s="1"/>
      <c r="I66" s="1"/>
      <c r="J66" s="1"/>
      <c r="K66" s="1"/>
    </row>
    <row r="67" spans="1:11" ht="14.25" customHeight="1">
      <c r="A67" s="1"/>
      <c r="B67" s="1"/>
      <c r="C67" s="1"/>
      <c r="D67" s="1"/>
      <c r="E67" s="1"/>
      <c r="F67" s="1"/>
      <c r="G67" s="1"/>
      <c r="H67" s="1"/>
      <c r="I67" s="1"/>
      <c r="J67" s="1"/>
      <c r="K67" s="1"/>
    </row>
    <row r="68" spans="1:11" ht="14.25" customHeight="1">
      <c r="A68" s="1"/>
      <c r="B68" s="1"/>
      <c r="C68" s="1"/>
      <c r="D68" s="1"/>
      <c r="E68" s="1"/>
      <c r="F68" s="1"/>
      <c r="G68" s="1"/>
      <c r="H68" s="1"/>
      <c r="I68" s="1"/>
      <c r="J68" s="1"/>
      <c r="K68" s="1"/>
    </row>
    <row r="69" spans="1:11" ht="14.25" customHeight="1">
      <c r="A69" s="1"/>
      <c r="B69" s="1"/>
      <c r="C69" s="1"/>
      <c r="D69" s="1"/>
      <c r="E69" s="1"/>
      <c r="F69" s="1"/>
      <c r="G69" s="1"/>
      <c r="H69" s="1"/>
      <c r="I69" s="1"/>
      <c r="J69" s="1"/>
      <c r="K69" s="1"/>
    </row>
    <row r="70" spans="1:11" ht="14.25" customHeight="1">
      <c r="A70" s="1"/>
      <c r="B70" s="1"/>
      <c r="C70" s="1"/>
      <c r="D70" s="1"/>
      <c r="E70" s="1"/>
      <c r="F70" s="1"/>
      <c r="G70" s="1"/>
      <c r="H70" s="1"/>
      <c r="I70" s="1"/>
      <c r="J70" s="1"/>
      <c r="K70" s="1"/>
    </row>
    <row r="71" spans="1:11" ht="14.25" customHeight="1">
      <c r="A71" s="1"/>
      <c r="B71" s="1"/>
      <c r="C71" s="1"/>
      <c r="D71" s="1"/>
      <c r="E71" s="1"/>
      <c r="F71" s="1"/>
      <c r="G71" s="1"/>
      <c r="H71" s="1"/>
      <c r="I71" s="1"/>
      <c r="J71" s="1"/>
      <c r="K71" s="1"/>
    </row>
    <row r="72" spans="1:11" ht="14.25" customHeight="1">
      <c r="A72" s="1"/>
      <c r="B72" s="1"/>
      <c r="C72" s="1"/>
      <c r="D72" s="1"/>
      <c r="E72" s="1"/>
      <c r="F72" s="1"/>
      <c r="G72" s="1"/>
      <c r="H72" s="1"/>
      <c r="I72" s="1"/>
      <c r="J72" s="1"/>
      <c r="K72" s="1"/>
    </row>
    <row r="73" spans="1:11" ht="14.25" customHeight="1">
      <c r="A73" s="1"/>
      <c r="B73" s="1"/>
      <c r="C73" s="1"/>
      <c r="D73" s="1"/>
      <c r="E73" s="1"/>
      <c r="F73" s="1"/>
      <c r="G73" s="1"/>
      <c r="H73" s="1"/>
      <c r="I73" s="1"/>
      <c r="J73" s="1"/>
      <c r="K73" s="1"/>
    </row>
    <row r="74" spans="1:11" ht="14.25" customHeight="1">
      <c r="A74" s="1"/>
      <c r="B74" s="1"/>
      <c r="C74" s="1"/>
      <c r="D74" s="1"/>
      <c r="E74" s="1"/>
      <c r="F74" s="1"/>
      <c r="G74" s="1"/>
      <c r="H74" s="1"/>
      <c r="I74" s="1"/>
      <c r="J74" s="1"/>
      <c r="K74" s="1"/>
    </row>
    <row r="75" spans="1:11" ht="14.25" customHeight="1">
      <c r="A75" s="1"/>
      <c r="B75" s="1"/>
      <c r="C75" s="1"/>
      <c r="D75" s="1"/>
      <c r="E75" s="1"/>
      <c r="F75" s="1"/>
      <c r="G75" s="1"/>
      <c r="H75" s="1"/>
      <c r="I75" s="1"/>
      <c r="J75" s="1"/>
      <c r="K75" s="1"/>
    </row>
    <row r="76" spans="1:11" ht="14.25" customHeight="1">
      <c r="A76" s="1"/>
      <c r="B76" s="1"/>
      <c r="C76" s="1"/>
      <c r="D76" s="1"/>
      <c r="E76" s="1"/>
      <c r="F76" s="1"/>
      <c r="G76" s="1"/>
      <c r="H76" s="1"/>
      <c r="I76" s="1"/>
      <c r="J76" s="1"/>
      <c r="K76" s="1"/>
    </row>
    <row r="77" spans="1:11" ht="14.25" customHeight="1">
      <c r="A77" s="1"/>
      <c r="B77" s="1"/>
      <c r="C77" s="1"/>
      <c r="D77" s="1"/>
      <c r="E77" s="1"/>
      <c r="F77" s="1"/>
      <c r="G77" s="1"/>
      <c r="H77" s="1"/>
      <c r="I77" s="1"/>
      <c r="J77" s="1"/>
      <c r="K77" s="1"/>
    </row>
    <row r="78" spans="1:11" ht="14.25" customHeight="1">
      <c r="A78" s="1"/>
      <c r="B78" s="1"/>
      <c r="C78" s="1"/>
      <c r="D78" s="1"/>
      <c r="E78" s="1"/>
      <c r="F78" s="1"/>
      <c r="G78" s="1"/>
      <c r="H78" s="1"/>
      <c r="I78" s="1"/>
      <c r="J78" s="1"/>
      <c r="K78" s="1"/>
    </row>
    <row r="79" spans="1:11" ht="14.25" customHeight="1">
      <c r="A79" s="1"/>
      <c r="B79" s="1"/>
      <c r="C79" s="1"/>
      <c r="D79" s="1"/>
      <c r="E79" s="1"/>
      <c r="F79" s="1"/>
      <c r="G79" s="1"/>
      <c r="H79" s="1"/>
      <c r="I79" s="1"/>
      <c r="J79" s="1"/>
      <c r="K79" s="1"/>
    </row>
    <row r="80" spans="1:11" ht="14.25" customHeight="1">
      <c r="A80" s="1"/>
      <c r="B80" s="1"/>
      <c r="C80" s="1"/>
      <c r="D80" s="1"/>
      <c r="E80" s="1"/>
      <c r="F80" s="1"/>
      <c r="G80" s="1"/>
      <c r="H80" s="1"/>
      <c r="I80" s="1"/>
      <c r="J80" s="1"/>
      <c r="K80" s="1"/>
    </row>
    <row r="81" spans="1:11" ht="14.25" customHeight="1">
      <c r="A81" s="1"/>
      <c r="B81" s="1"/>
      <c r="C81" s="1"/>
      <c r="D81" s="1"/>
      <c r="E81" s="1"/>
      <c r="F81" s="1"/>
      <c r="G81" s="1"/>
      <c r="H81" s="1"/>
      <c r="I81" s="1"/>
      <c r="J81" s="1"/>
      <c r="K81" s="1"/>
    </row>
    <row r="82" spans="1:11" ht="14.25" customHeight="1">
      <c r="A82" s="1"/>
      <c r="B82" s="1"/>
      <c r="C82" s="1"/>
      <c r="D82" s="1"/>
      <c r="E82" s="1"/>
      <c r="F82" s="1"/>
      <c r="G82" s="1"/>
      <c r="H82" s="1"/>
      <c r="I82" s="1"/>
      <c r="J82" s="1"/>
      <c r="K82" s="1"/>
    </row>
    <row r="83" spans="1:11" ht="14.25" customHeight="1">
      <c r="A83" s="1"/>
      <c r="B83" s="1"/>
      <c r="C83" s="1"/>
      <c r="D83" s="1"/>
      <c r="E83" s="1"/>
      <c r="F83" s="1"/>
      <c r="G83" s="1"/>
      <c r="H83" s="1"/>
      <c r="I83" s="1"/>
      <c r="J83" s="1"/>
      <c r="K83" s="1"/>
    </row>
    <row r="84" spans="1:11" ht="14.25" customHeight="1">
      <c r="A84" s="1"/>
      <c r="B84" s="1"/>
      <c r="C84" s="1"/>
      <c r="D84" s="1"/>
      <c r="E84" s="1"/>
      <c r="F84" s="1"/>
      <c r="G84" s="1"/>
      <c r="H84" s="1"/>
      <c r="I84" s="1"/>
      <c r="J84" s="1"/>
      <c r="K84" s="1"/>
    </row>
    <row r="85" spans="1:11" ht="14.25" customHeight="1">
      <c r="A85" s="1"/>
      <c r="B85" s="1"/>
      <c r="C85" s="1"/>
      <c r="D85" s="1"/>
      <c r="E85" s="1"/>
      <c r="F85" s="1"/>
      <c r="G85" s="1"/>
      <c r="H85" s="1"/>
      <c r="I85" s="1"/>
      <c r="J85" s="1"/>
      <c r="K85" s="1"/>
    </row>
    <row r="86" spans="1:11" ht="14.25" customHeight="1">
      <c r="A86" s="1"/>
      <c r="B86" s="1"/>
      <c r="C86" s="1"/>
      <c r="D86" s="1"/>
      <c r="E86" s="1"/>
      <c r="F86" s="1"/>
      <c r="G86" s="1"/>
      <c r="H86" s="1"/>
      <c r="I86" s="1"/>
      <c r="J86" s="1"/>
      <c r="K86" s="1"/>
    </row>
    <row r="87" spans="1:11" ht="14.25" customHeight="1">
      <c r="A87" s="1"/>
      <c r="B87" s="1"/>
      <c r="C87" s="1"/>
      <c r="D87" s="1"/>
      <c r="E87" s="1"/>
      <c r="F87" s="1"/>
      <c r="G87" s="1"/>
      <c r="H87" s="1"/>
      <c r="I87" s="1"/>
      <c r="J87" s="1"/>
      <c r="K87" s="1"/>
    </row>
    <row r="88" spans="1:11" ht="14.25" customHeight="1">
      <c r="A88" s="1"/>
      <c r="B88" s="1"/>
      <c r="C88" s="1"/>
      <c r="D88" s="1"/>
      <c r="E88" s="1"/>
      <c r="F88" s="1"/>
      <c r="G88" s="1"/>
      <c r="H88" s="1"/>
      <c r="I88" s="1"/>
      <c r="J88" s="1"/>
      <c r="K88" s="1"/>
    </row>
    <row r="89" spans="1:11" ht="14.25" customHeight="1">
      <c r="A89" s="1"/>
      <c r="B89" s="1"/>
      <c r="C89" s="1"/>
      <c r="D89" s="1"/>
      <c r="E89" s="1"/>
      <c r="F89" s="1"/>
      <c r="G89" s="1"/>
      <c r="H89" s="1"/>
      <c r="I89" s="1"/>
      <c r="J89" s="1"/>
      <c r="K89" s="1"/>
    </row>
    <row r="90" spans="1:11" ht="14.25" customHeight="1">
      <c r="A90" s="1"/>
      <c r="B90" s="1"/>
      <c r="C90" s="1"/>
      <c r="D90" s="1"/>
      <c r="E90" s="1"/>
      <c r="F90" s="1"/>
      <c r="G90" s="1"/>
      <c r="H90" s="1"/>
      <c r="I90" s="1"/>
      <c r="J90" s="1"/>
      <c r="K90" s="1"/>
    </row>
    <row r="91" spans="1:11" ht="14.25" customHeight="1">
      <c r="A91" s="1"/>
      <c r="B91" s="1"/>
      <c r="C91" s="1"/>
      <c r="D91" s="1"/>
      <c r="E91" s="1"/>
      <c r="F91" s="1"/>
      <c r="G91" s="1"/>
      <c r="H91" s="1"/>
      <c r="I91" s="1"/>
      <c r="J91" s="1"/>
      <c r="K91" s="1"/>
    </row>
    <row r="92" spans="1:11" ht="14.25" customHeight="1">
      <c r="A92" s="1"/>
      <c r="B92" s="1"/>
      <c r="C92" s="1"/>
      <c r="D92" s="1"/>
      <c r="E92" s="1"/>
      <c r="F92" s="1"/>
      <c r="G92" s="1"/>
      <c r="H92" s="1"/>
      <c r="I92" s="1"/>
      <c r="J92" s="1"/>
      <c r="K92" s="1"/>
    </row>
    <row r="93" spans="1:11" ht="14.25" customHeight="1">
      <c r="A93" s="1"/>
      <c r="B93" s="1"/>
      <c r="C93" s="1"/>
      <c r="D93" s="1"/>
      <c r="E93" s="1"/>
      <c r="F93" s="1"/>
      <c r="G93" s="1"/>
      <c r="H93" s="1"/>
      <c r="I93" s="1"/>
      <c r="J93" s="1"/>
      <c r="K93" s="1"/>
    </row>
    <row r="94" spans="1:11" ht="14.25" customHeight="1">
      <c r="A94" s="1"/>
      <c r="B94" s="1"/>
      <c r="C94" s="1"/>
      <c r="D94" s="1"/>
      <c r="E94" s="1"/>
      <c r="F94" s="1"/>
      <c r="G94" s="1"/>
      <c r="H94" s="1"/>
      <c r="I94" s="1"/>
      <c r="J94" s="1"/>
      <c r="K94" s="1"/>
    </row>
    <row r="95" spans="1:11" ht="14.25" customHeight="1">
      <c r="A95" s="1"/>
      <c r="B95" s="1"/>
      <c r="C95" s="1"/>
      <c r="D95" s="1"/>
      <c r="E95" s="1"/>
      <c r="F95" s="1"/>
      <c r="G95" s="1"/>
      <c r="H95" s="1"/>
      <c r="I95" s="1"/>
      <c r="J95" s="1"/>
      <c r="K95" s="1"/>
    </row>
    <row r="96" spans="1:11" ht="14.25" customHeight="1">
      <c r="A96" s="1"/>
      <c r="B96" s="1"/>
      <c r="C96" s="1"/>
      <c r="D96" s="1"/>
      <c r="E96" s="1"/>
      <c r="F96" s="1"/>
      <c r="G96" s="1"/>
      <c r="H96" s="1"/>
      <c r="I96" s="1"/>
      <c r="J96" s="1"/>
      <c r="K96" s="1"/>
    </row>
    <row r="97" spans="1:11" ht="14.25" customHeight="1">
      <c r="A97" s="1"/>
      <c r="B97" s="1"/>
      <c r="C97" s="1"/>
      <c r="D97" s="1"/>
      <c r="E97" s="1"/>
      <c r="F97" s="1"/>
      <c r="G97" s="1"/>
      <c r="H97" s="1"/>
      <c r="I97" s="1"/>
      <c r="J97" s="1"/>
      <c r="K97" s="1"/>
    </row>
    <row r="98" spans="1:11" ht="14.25" customHeight="1">
      <c r="A98" s="1"/>
      <c r="B98" s="1"/>
      <c r="C98" s="1"/>
      <c r="D98" s="1"/>
      <c r="E98" s="1"/>
      <c r="F98" s="1"/>
      <c r="G98" s="1"/>
      <c r="H98" s="1"/>
      <c r="I98" s="1"/>
      <c r="J98" s="1"/>
      <c r="K98" s="1"/>
    </row>
    <row r="99" spans="1:11" ht="14.25" customHeight="1">
      <c r="A99" s="1"/>
      <c r="B99" s="1"/>
      <c r="C99" s="1"/>
      <c r="D99" s="1"/>
      <c r="E99" s="1"/>
      <c r="F99" s="1"/>
      <c r="G99" s="1"/>
      <c r="H99" s="1"/>
      <c r="I99" s="1"/>
      <c r="J99" s="1"/>
      <c r="K99" s="1"/>
    </row>
    <row r="100" spans="1:11" ht="14.25" customHeight="1">
      <c r="A100" s="1"/>
      <c r="B100" s="1"/>
      <c r="C100" s="1"/>
      <c r="D100" s="1"/>
      <c r="E100" s="1"/>
      <c r="F100" s="1"/>
      <c r="G100" s="1"/>
      <c r="H100" s="1"/>
      <c r="I100" s="1"/>
      <c r="J100" s="1"/>
      <c r="K100" s="1"/>
    </row>
  </sheetData>
  <mergeCells count="14">
    <mergeCell ref="A6:E6"/>
    <mergeCell ref="A2:E2"/>
    <mergeCell ref="A3:E3"/>
    <mergeCell ref="A4:E4"/>
    <mergeCell ref="A5:E5"/>
    <mergeCell ref="B13:E13"/>
    <mergeCell ref="C22:C27"/>
    <mergeCell ref="A7:E7"/>
    <mergeCell ref="A8:E8"/>
    <mergeCell ref="A9:E9"/>
    <mergeCell ref="A10:E10"/>
    <mergeCell ref="A14:E14"/>
    <mergeCell ref="A15:E15"/>
    <mergeCell ref="B12:E1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0"/>
  <sheetViews>
    <sheetView topLeftCell="A13" workbookViewId="0">
      <selection activeCell="C25" sqref="C25"/>
    </sheetView>
  </sheetViews>
  <sheetFormatPr defaultColWidth="14.42578125" defaultRowHeight="15" customHeight="1"/>
  <cols>
    <col min="1" max="1" width="3.5703125" customWidth="1"/>
    <col min="2" max="2" width="35.7109375" customWidth="1"/>
    <col min="3" max="3" width="15.5703125" customWidth="1"/>
    <col min="4" max="4" width="15.7109375" customWidth="1"/>
    <col min="5" max="5" width="14.5703125" customWidth="1"/>
    <col min="6" max="6" width="14.7109375" customWidth="1"/>
    <col min="7" max="7" width="18.85546875" customWidth="1"/>
    <col min="8" max="9" width="14.85546875" customWidth="1"/>
    <col min="10" max="11" width="8.7109375" customWidth="1"/>
  </cols>
  <sheetData>
    <row r="1" spans="1:10" ht="14.25" customHeight="1">
      <c r="A1" s="377"/>
      <c r="B1" s="360"/>
      <c r="C1" s="360"/>
      <c r="D1" s="360"/>
      <c r="E1" s="360"/>
      <c r="F1" s="360"/>
      <c r="G1" s="360"/>
    </row>
    <row r="2" spans="1:10" ht="14.25" customHeight="1">
      <c r="A2" s="359" t="s">
        <v>451</v>
      </c>
      <c r="B2" s="360"/>
      <c r="C2" s="360"/>
      <c r="D2" s="360"/>
      <c r="E2" s="360"/>
      <c r="F2" s="360"/>
      <c r="G2" s="360"/>
      <c r="H2" s="360"/>
      <c r="I2" s="360"/>
      <c r="J2" s="100"/>
    </row>
    <row r="3" spans="1:10" ht="14.25" customHeight="1"/>
    <row r="4" spans="1:10" ht="14.25" customHeight="1">
      <c r="A4" s="220" t="s">
        <v>452</v>
      </c>
      <c r="B4" s="220" t="s">
        <v>201</v>
      </c>
      <c r="C4" s="103" t="s">
        <v>204</v>
      </c>
      <c r="D4" s="103" t="s">
        <v>205</v>
      </c>
      <c r="E4" s="103" t="s">
        <v>206</v>
      </c>
      <c r="F4" s="103" t="s">
        <v>207</v>
      </c>
      <c r="G4" s="103" t="s">
        <v>208</v>
      </c>
      <c r="H4" s="103" t="s">
        <v>209</v>
      </c>
      <c r="I4" s="103" t="s">
        <v>210</v>
      </c>
    </row>
    <row r="5" spans="1:10" ht="14.25" customHeight="1">
      <c r="A5" s="221">
        <v>1</v>
      </c>
      <c r="B5" s="221" t="s">
        <v>453</v>
      </c>
      <c r="C5" s="222"/>
      <c r="D5" s="222"/>
      <c r="E5" s="222"/>
      <c r="F5" s="222"/>
      <c r="G5" s="222"/>
      <c r="H5" s="222"/>
      <c r="I5" s="222"/>
    </row>
    <row r="6" spans="1:10" ht="14.25" customHeight="1">
      <c r="A6" s="221"/>
      <c r="B6" s="223" t="s">
        <v>453</v>
      </c>
      <c r="C6" s="222">
        <f>'6.Cons Profit &amp; Loss'!B15</f>
        <v>50381994.715680987</v>
      </c>
      <c r="D6" s="222">
        <f>'6.Cons Profit &amp; Loss'!C15</f>
        <v>62383071.487577915</v>
      </c>
      <c r="E6" s="222">
        <f>'6.Cons Profit &amp; Loss'!D15</f>
        <v>73146467.363118902</v>
      </c>
      <c r="F6" s="222">
        <f>'6.Cons Profit &amp; Loss'!E15</f>
        <v>84830245.147495031</v>
      </c>
      <c r="G6" s="222">
        <f>'6.Cons Profit &amp; Loss'!F15</f>
        <v>97499534.541900963</v>
      </c>
      <c r="H6" s="222">
        <f>'6.Cons Profit &amp; Loss'!G15</f>
        <v>111131784.99037878</v>
      </c>
      <c r="I6" s="222">
        <f>'6.Cons Profit &amp; Loss'!H15</f>
        <v>125883511.6473496</v>
      </c>
    </row>
    <row r="7" spans="1:10" ht="14.25" customHeight="1">
      <c r="A7" s="221">
        <v>2</v>
      </c>
      <c r="B7" s="221" t="s">
        <v>454</v>
      </c>
      <c r="C7" s="222">
        <f>'1.Project Cost and MOF'!E21</f>
        <v>3395816.3242842024</v>
      </c>
      <c r="D7" s="222"/>
      <c r="E7" s="222"/>
      <c r="F7" s="222"/>
      <c r="G7" s="222"/>
      <c r="H7" s="222"/>
      <c r="I7" s="222"/>
    </row>
    <row r="8" spans="1:10" ht="14.25" customHeight="1">
      <c r="A8" s="221"/>
      <c r="B8" s="221" t="s">
        <v>455</v>
      </c>
      <c r="C8" s="222"/>
      <c r="D8" s="222"/>
      <c r="E8" s="222"/>
      <c r="F8" s="222"/>
      <c r="G8" s="222"/>
      <c r="H8" s="222"/>
      <c r="I8" s="222"/>
    </row>
    <row r="9" spans="1:10" ht="14.25" customHeight="1">
      <c r="A9" s="221">
        <v>3</v>
      </c>
      <c r="B9" s="221" t="s">
        <v>456</v>
      </c>
      <c r="C9" s="222">
        <f>'1.Project Cost and MOF'!E19</f>
        <v>16072559.544</v>
      </c>
      <c r="D9" s="222"/>
      <c r="E9" s="222"/>
      <c r="F9" s="222"/>
      <c r="G9" s="222"/>
      <c r="H9" s="222"/>
      <c r="I9" s="222"/>
    </row>
    <row r="10" spans="1:10" ht="14.25" customHeight="1">
      <c r="A10" s="221">
        <v>4</v>
      </c>
      <c r="B10" s="221" t="s">
        <v>457</v>
      </c>
      <c r="C10" s="222">
        <f>'1.Project Cost and MOF'!E20</f>
        <v>8036279.7720000008</v>
      </c>
      <c r="D10" s="222"/>
      <c r="E10" s="222"/>
      <c r="F10" s="222"/>
      <c r="G10" s="222"/>
      <c r="H10" s="222"/>
      <c r="I10" s="222"/>
    </row>
    <row r="11" spans="1:10" ht="14.25" customHeight="1">
      <c r="A11" s="221">
        <v>5</v>
      </c>
      <c r="B11" s="221" t="s">
        <v>458</v>
      </c>
      <c r="C11" s="222">
        <f>'7.Balance Sheet'!B24</f>
        <v>2151169.2008526064</v>
      </c>
      <c r="D11" s="222">
        <f>'7.Balance Sheet'!C24-'7.Balance Sheet'!B24</f>
        <v>1370641.0101534808</v>
      </c>
      <c r="E11" s="222">
        <f>'7.Balance Sheet'!D24-'7.Balance Sheet'!C24</f>
        <v>623099.43777229683</v>
      </c>
      <c r="F11" s="222">
        <f>'7.Balance Sheet'!E24-'7.Balance Sheet'!D24</f>
        <v>676604.85602201009</v>
      </c>
      <c r="G11" s="222">
        <f>'7.Balance Sheet'!F24-'7.Balance Sheet'!E24</f>
        <v>733903.0675022658</v>
      </c>
      <c r="H11" s="222">
        <f>'7.Balance Sheet'!G24-'7.Balance Sheet'!F24</f>
        <v>791714.95288090128</v>
      </c>
      <c r="I11" s="222">
        <f>'7.Balance Sheet'!H24-'7.Balance Sheet'!G24</f>
        <v>856997.904238238</v>
      </c>
    </row>
    <row r="12" spans="1:10" ht="14.25" customHeight="1">
      <c r="A12" s="221">
        <v>6</v>
      </c>
      <c r="B12" s="221" t="s">
        <v>459</v>
      </c>
      <c r="C12" s="222">
        <f>'7.Balance Sheet'!B25</f>
        <v>595289.66301803547</v>
      </c>
      <c r="D12" s="222">
        <f>'7.Balance Sheet'!C25-'7.Balance Sheet'!B25</f>
        <v>120908.25377658673</v>
      </c>
      <c r="E12" s="222">
        <f>'7.Balance Sheet'!D25-'7.Balance Sheet'!C25</f>
        <v>131510.85499670031</v>
      </c>
      <c r="F12" s="222">
        <f>'7.Balance Sheet'!E25-'7.Balance Sheet'!D25</f>
        <v>142871.44570438366</v>
      </c>
      <c r="G12" s="222">
        <f>'7.Balance Sheet'!F25-'7.Balance Sheet'!E25</f>
        <v>155039.31834534393</v>
      </c>
      <c r="H12" s="222">
        <f>'7.Balance Sheet'!G25-'7.Balance Sheet'!F25</f>
        <v>168066.79963613907</v>
      </c>
      <c r="I12" s="222">
        <f>'7.Balance Sheet'!H25-'7.Balance Sheet'!G25</f>
        <v>182009.43076015031</v>
      </c>
    </row>
    <row r="13" spans="1:10" ht="14.25" customHeight="1">
      <c r="A13" s="221"/>
      <c r="B13" s="221" t="s">
        <v>460</v>
      </c>
      <c r="C13" s="224">
        <f>C6+C7+C9+C10+C11+C12</f>
        <v>80633109.219835818</v>
      </c>
      <c r="D13" s="224">
        <f t="shared" ref="D13:I13" si="0">SUM(D6:D12)</f>
        <v>63874620.751507983</v>
      </c>
      <c r="E13" s="224">
        <f t="shared" si="0"/>
        <v>73901077.655887902</v>
      </c>
      <c r="F13" s="224">
        <f t="shared" si="0"/>
        <v>85649721.449221432</v>
      </c>
      <c r="G13" s="224">
        <f t="shared" si="0"/>
        <v>98388476.927748561</v>
      </c>
      <c r="H13" s="224">
        <f t="shared" si="0"/>
        <v>112091566.74289583</v>
      </c>
      <c r="I13" s="224">
        <f t="shared" si="0"/>
        <v>126922518.98234798</v>
      </c>
    </row>
    <row r="14" spans="1:10" ht="14.25" customHeight="1">
      <c r="A14" s="397" t="s">
        <v>461</v>
      </c>
      <c r="B14" s="348"/>
      <c r="C14" s="225"/>
      <c r="D14" s="225"/>
      <c r="E14" s="225"/>
      <c r="F14" s="225"/>
      <c r="G14" s="225"/>
      <c r="H14" s="225"/>
      <c r="I14" s="225"/>
    </row>
    <row r="15" spans="1:10" ht="14.25" customHeight="1">
      <c r="A15" s="221">
        <v>1</v>
      </c>
      <c r="B15" s="221" t="s">
        <v>462</v>
      </c>
      <c r="C15" s="225"/>
      <c r="D15" s="225"/>
      <c r="E15" s="225"/>
      <c r="F15" s="225"/>
      <c r="G15" s="225"/>
      <c r="H15" s="225"/>
      <c r="I15" s="225"/>
    </row>
    <row r="16" spans="1:10" ht="14.25" customHeight="1">
      <c r="A16" s="226" t="s">
        <v>160</v>
      </c>
      <c r="B16" s="225" t="s">
        <v>816</v>
      </c>
      <c r="C16" s="227">
        <f>'1.Project Cost and MOF'!D5</f>
        <v>13915500</v>
      </c>
      <c r="D16" s="227"/>
      <c r="E16" s="227"/>
      <c r="F16" s="227"/>
      <c r="G16" s="227"/>
      <c r="H16" s="227"/>
      <c r="I16" s="227"/>
    </row>
    <row r="17" spans="1:9" ht="14.25" customHeight="1">
      <c r="A17" s="226" t="s">
        <v>167</v>
      </c>
      <c r="B17" s="67" t="s">
        <v>816</v>
      </c>
      <c r="C17" s="227">
        <f>'1.Project Cost and MOF'!D6</f>
        <v>12597099.24</v>
      </c>
      <c r="D17" s="227"/>
      <c r="E17" s="227"/>
      <c r="F17" s="227"/>
      <c r="G17" s="227"/>
      <c r="H17" s="227"/>
      <c r="I17" s="227"/>
    </row>
    <row r="18" spans="1:9" ht="14.25" customHeight="1">
      <c r="A18" s="226" t="s">
        <v>171</v>
      </c>
      <c r="B18" s="67" t="s">
        <v>270</v>
      </c>
      <c r="C18" s="227">
        <f>'1.Project Cost and MOF'!D7</f>
        <v>0</v>
      </c>
      <c r="D18" s="227"/>
      <c r="E18" s="227"/>
      <c r="F18" s="227"/>
      <c r="G18" s="227"/>
      <c r="H18" s="227"/>
      <c r="I18" s="227"/>
    </row>
    <row r="19" spans="1:9" ht="14.25" customHeight="1">
      <c r="A19" s="226" t="s">
        <v>175</v>
      </c>
      <c r="B19" s="67" t="s">
        <v>463</v>
      </c>
      <c r="C19" s="227">
        <f>'1.Project Cost and MOF'!D8</f>
        <v>140000</v>
      </c>
      <c r="D19" s="227"/>
      <c r="E19" s="227"/>
      <c r="F19" s="227"/>
      <c r="G19" s="227"/>
      <c r="H19" s="227"/>
      <c r="I19" s="227"/>
    </row>
    <row r="20" spans="1:9" ht="14.25" customHeight="1">
      <c r="A20" s="226" t="s">
        <v>464</v>
      </c>
      <c r="B20" s="67" t="s">
        <v>192</v>
      </c>
      <c r="C20" s="227">
        <f>'1.Project Cost and MOF'!D9</f>
        <v>0</v>
      </c>
      <c r="D20" s="222"/>
      <c r="E20" s="222"/>
      <c r="F20" s="222"/>
      <c r="G20" s="222"/>
      <c r="H20" s="222"/>
      <c r="I20" s="222"/>
    </row>
    <row r="21" spans="1:9" ht="14.25" customHeight="1">
      <c r="A21" s="226" t="s">
        <v>465</v>
      </c>
      <c r="B21" s="67" t="s">
        <v>466</v>
      </c>
      <c r="C21" s="227">
        <f>'1.Project Cost and MOF'!D10</f>
        <v>135000</v>
      </c>
      <c r="D21" s="222"/>
      <c r="E21" s="222"/>
      <c r="F21" s="222"/>
      <c r="G21" s="222"/>
      <c r="H21" s="222"/>
      <c r="I21" s="222"/>
    </row>
    <row r="22" spans="1:9" ht="14.25" customHeight="1">
      <c r="A22" s="221">
        <v>2</v>
      </c>
      <c r="B22" s="221" t="s">
        <v>467</v>
      </c>
      <c r="C22" s="225"/>
      <c r="D22" s="225"/>
      <c r="E22" s="225"/>
      <c r="F22" s="225"/>
      <c r="G22" s="225"/>
      <c r="H22" s="225"/>
      <c r="I22" s="225"/>
    </row>
    <row r="23" spans="1:9" ht="14.25" customHeight="1">
      <c r="A23" s="226" t="s">
        <v>160</v>
      </c>
      <c r="B23" s="225" t="s">
        <v>404</v>
      </c>
      <c r="C23" s="222">
        <f>'6.Cons Profit &amp; Loss'!B25</f>
        <v>44279525.164500542</v>
      </c>
      <c r="D23" s="222">
        <f>'6.Cons Profit &amp; Loss'!C25</f>
        <v>54090328.428730629</v>
      </c>
      <c r="E23" s="222">
        <f>'6.Cons Profit &amp; Loss'!D25</f>
        <v>63401530.084520414</v>
      </c>
      <c r="F23" s="222">
        <f>'6.Cons Profit &amp; Loss'!E25</f>
        <v>73508626.084817365</v>
      </c>
      <c r="G23" s="222">
        <f>'6.Cons Profit &amp; Loss'!F25</f>
        <v>84467927.859932691</v>
      </c>
      <c r="H23" s="222">
        <f>'6.Cons Profit &amp; Loss'!G25</f>
        <v>96339388.247347549</v>
      </c>
      <c r="I23" s="222">
        <f>'6.Cons Profit &amp; Loss'!H25</f>
        <v>109186824.85385402</v>
      </c>
    </row>
    <row r="24" spans="1:9" ht="14.25" customHeight="1">
      <c r="A24" s="226" t="s">
        <v>167</v>
      </c>
      <c r="B24" s="225" t="s">
        <v>406</v>
      </c>
      <c r="C24" s="222">
        <f>'6.Cons Profit &amp; Loss'!B36</f>
        <v>2212000</v>
      </c>
      <c r="D24" s="222">
        <f>'6.Cons Profit &amp; Loss'!C36</f>
        <v>2322600</v>
      </c>
      <c r="E24" s="222">
        <f>'6.Cons Profit &amp; Loss'!D36</f>
        <v>2438730</v>
      </c>
      <c r="F24" s="222">
        <f>'6.Cons Profit &amp; Loss'!E36</f>
        <v>2560666.5000000005</v>
      </c>
      <c r="G24" s="222">
        <f>'6.Cons Profit &amp; Loss'!F36</f>
        <v>2688699.8250000002</v>
      </c>
      <c r="H24" s="222">
        <f>'6.Cons Profit &amp; Loss'!G36</f>
        <v>2823134.8162500006</v>
      </c>
      <c r="I24" s="222">
        <f>'6.Cons Profit &amp; Loss'!H36</f>
        <v>2964291.5570625011</v>
      </c>
    </row>
    <row r="25" spans="1:9" ht="14.25" customHeight="1">
      <c r="A25" s="228">
        <v>3</v>
      </c>
      <c r="B25" s="221" t="s">
        <v>468</v>
      </c>
      <c r="C25" s="222"/>
      <c r="D25" s="222"/>
      <c r="E25" s="222"/>
      <c r="F25" s="222"/>
      <c r="G25" s="222"/>
      <c r="H25" s="222"/>
      <c r="I25" s="222"/>
    </row>
    <row r="26" spans="1:9" ht="14.25" customHeight="1">
      <c r="A26" s="226"/>
      <c r="B26" s="225" t="s">
        <v>469</v>
      </c>
      <c r="C26" s="222">
        <f>SUM('4.TL repayment sch'!E10:E21)</f>
        <v>694947.80234261078</v>
      </c>
      <c r="D26" s="222">
        <f>SUM('4.TL repayment sch'!E22:E33)</f>
        <v>1520785.674117421</v>
      </c>
      <c r="E26" s="222">
        <f>SUM('4.TL repayment sch'!E34:E45)</f>
        <v>1713659.3630616306</v>
      </c>
      <c r="F26" s="222">
        <f>SUM('4.TL repayment sch'!E46:E57)</f>
        <v>1930994.263417854</v>
      </c>
      <c r="G26" s="222">
        <f>SUM('4.TL repayment sch'!E58:E69)</f>
        <v>2175892.669060484</v>
      </c>
      <c r="H26" s="222">
        <f>SUM('4.TL repayment sch'!E70:E81)</f>
        <v>0</v>
      </c>
      <c r="I26" s="222">
        <f>SUM('4.TL repayment sch'!E82:E93)</f>
        <v>0</v>
      </c>
    </row>
    <row r="27" spans="1:9" ht="14.25" customHeight="1">
      <c r="A27" s="226"/>
      <c r="B27" s="225" t="s">
        <v>470</v>
      </c>
      <c r="C27" s="222">
        <f>SUM('4.TL repayment sch'!D10:D21)</f>
        <v>947181.55161803635</v>
      </c>
      <c r="D27" s="222">
        <f>SUM('4.TL repayment sch'!D22:D33)</f>
        <v>799119.46116387332</v>
      </c>
      <c r="E27" s="222">
        <f>SUM('4.TL repayment sch'!D34:D45)</f>
        <v>606245.77221966349</v>
      </c>
      <c r="F27" s="222">
        <f>SUM('4.TL repayment sch'!D46:D57)</f>
        <v>388910.87186344009</v>
      </c>
      <c r="G27" s="222">
        <f>SUM('4.TL repayment sch'!D58:D69)</f>
        <v>144012.46622081011</v>
      </c>
      <c r="H27" s="222">
        <f>SUM('4.TL repayment sch'!D70:D81)</f>
        <v>0</v>
      </c>
      <c r="I27" s="222">
        <f>SUM('4.TL repayment sch'!D82:D93)</f>
        <v>0</v>
      </c>
    </row>
    <row r="28" spans="1:9" ht="14.25" customHeight="1">
      <c r="A28" s="226"/>
      <c r="B28" s="225" t="s">
        <v>471</v>
      </c>
      <c r="C28" s="222"/>
      <c r="D28" s="222"/>
      <c r="E28" s="222"/>
      <c r="F28" s="222"/>
      <c r="G28" s="222"/>
      <c r="H28" s="222"/>
      <c r="I28" s="222"/>
    </row>
    <row r="29" spans="1:9" ht="14.25" customHeight="1">
      <c r="A29" s="226"/>
      <c r="B29" s="225" t="s">
        <v>472</v>
      </c>
      <c r="C29" s="222">
        <f>'7.Balance Sheet'!B24*12%</f>
        <v>258140.30410231277</v>
      </c>
      <c r="D29" s="222">
        <f>'7.Balance Sheet'!C24*12%</f>
        <v>422617.22532073047</v>
      </c>
      <c r="E29" s="222">
        <f>'7.Balance Sheet'!D24*12%</f>
        <v>497389.1578534061</v>
      </c>
      <c r="F29" s="222">
        <f>'7.Balance Sheet'!E24*12%</f>
        <v>578581.74057604733</v>
      </c>
      <c r="G29" s="222">
        <f>'7.Balance Sheet'!F24*12%</f>
        <v>666650.10867631913</v>
      </c>
      <c r="H29" s="222">
        <f>'7.Balance Sheet'!G24*12%</f>
        <v>761655.90302202734</v>
      </c>
      <c r="I29" s="222">
        <f>'7.Balance Sheet'!H24*12%</f>
        <v>864495.65153061587</v>
      </c>
    </row>
    <row r="30" spans="1:9" ht="14.25" customHeight="1">
      <c r="A30" s="221">
        <v>4</v>
      </c>
      <c r="B30" s="221" t="s">
        <v>473</v>
      </c>
      <c r="C30" s="222" t="str">
        <f>'6.Cons Profit &amp; Loss'!B50</f>
        <v>0</v>
      </c>
      <c r="D30" s="222">
        <f>'6.Cons Profit &amp; Loss'!C50</f>
        <v>475613.11700829753</v>
      </c>
      <c r="E30" s="222">
        <f>'6.Cons Profit &amp; Loss'!D50</f>
        <v>952392.01678150881</v>
      </c>
      <c r="F30" s="222">
        <f>'6.Cons Profit &amp; Loss'!E50</f>
        <v>1450668.6908020915</v>
      </c>
      <c r="G30" s="222">
        <f>'6.Cons Profit &amp; Loss'!F50</f>
        <v>1975642.7721676365</v>
      </c>
      <c r="H30" s="222">
        <f>'6.Cons Profit &amp; Loss'!G50</f>
        <v>2481217.7327671633</v>
      </c>
      <c r="I30" s="222">
        <f>'6.Cons Profit &amp; Loss'!H50</f>
        <v>2967409.0274024429</v>
      </c>
    </row>
    <row r="31" spans="1:9" ht="14.25" customHeight="1">
      <c r="A31" s="221">
        <v>5</v>
      </c>
      <c r="B31" s="221" t="s">
        <v>474</v>
      </c>
      <c r="C31" s="222">
        <f>'7.Balance Sheet'!B9</f>
        <v>1932460.0712863943</v>
      </c>
      <c r="D31" s="222">
        <f>'7.Balance Sheet'!C9-'7.Balance Sheet'!B9</f>
        <v>460315.27344262134</v>
      </c>
      <c r="E31" s="222">
        <f>'7.Balance Sheet'!D9-'7.Balance Sheet'!C9</f>
        <v>412842.5815275996</v>
      </c>
      <c r="F31" s="222">
        <f>'7.Balance Sheet'!E9-'7.Balance Sheet'!D9</f>
        <v>448144.90131853614</v>
      </c>
      <c r="G31" s="222">
        <f>'7.Balance Sheet'!F9-'7.Balance Sheet'!E9</f>
        <v>485945.34663474886</v>
      </c>
      <c r="H31" s="222">
        <f>'7.Balance Sheet'!G9-'7.Balance Sheet'!F9</f>
        <v>522880.83911969699</v>
      </c>
      <c r="I31" s="222">
        <f>'7.Balance Sheet'!H9-'7.Balance Sheet'!G9</f>
        <v>565819.65259614121</v>
      </c>
    </row>
    <row r="32" spans="1:9" ht="14.25" customHeight="1">
      <c r="A32" s="221">
        <v>6</v>
      </c>
      <c r="B32" s="221" t="s">
        <v>475</v>
      </c>
      <c r="C32" s="222">
        <f>'7.Balance Sheet'!B10</f>
        <v>1531055.19286845</v>
      </c>
      <c r="D32" s="222">
        <f>'7.Balance Sheet'!C10-'7.Balance Sheet'!B10</f>
        <v>314177.59020324377</v>
      </c>
      <c r="E32" s="222">
        <f>'7.Balance Sheet'!D10-'7.Balance Sheet'!C10</f>
        <v>341767.71124139731</v>
      </c>
      <c r="F32" s="222">
        <f>'7.Balance Sheet'!E10-'7.Balance Sheet'!D10</f>
        <v>371331.40040785726</v>
      </c>
      <c r="G32" s="222">
        <f>'7.Balance Sheet'!F10-'7.Balance Sheet'!E10</f>
        <v>402997.0392128611</v>
      </c>
      <c r="H32" s="222">
        <f>'7.Balance Sheet'!G10-'7.Balance Sheet'!F10</f>
        <v>436900.91339734429</v>
      </c>
      <c r="I32" s="222">
        <f>'7.Balance Sheet'!H10-'7.Balance Sheet'!G10</f>
        <v>473187.68240224523</v>
      </c>
    </row>
    <row r="33" spans="1:10" ht="14.25" customHeight="1">
      <c r="A33" s="221"/>
      <c r="B33" s="221" t="s">
        <v>476</v>
      </c>
      <c r="C33" s="224">
        <f t="shared" ref="C33:I33" si="1">SUM(C16:C32)</f>
        <v>78642909.32671836</v>
      </c>
      <c r="D33" s="224">
        <f t="shared" si="1"/>
        <v>60405556.769986816</v>
      </c>
      <c r="E33" s="224">
        <f t="shared" si="1"/>
        <v>70364556.687205628</v>
      </c>
      <c r="F33" s="224">
        <f t="shared" si="1"/>
        <v>81237924.453203186</v>
      </c>
      <c r="G33" s="224">
        <f t="shared" si="1"/>
        <v>93007768.086905554</v>
      </c>
      <c r="H33" s="224">
        <f t="shared" si="1"/>
        <v>103365178.45190378</v>
      </c>
      <c r="I33" s="224">
        <f t="shared" si="1"/>
        <v>117022028.42484796</v>
      </c>
    </row>
    <row r="34" spans="1:10" ht="14.25" customHeight="1">
      <c r="A34" s="221"/>
      <c r="B34" s="221" t="s">
        <v>477</v>
      </c>
      <c r="C34" s="224">
        <f t="shared" ref="C34:I34" si="2">C13-C33</f>
        <v>1990199.8931174576</v>
      </c>
      <c r="D34" s="224">
        <f t="shared" si="2"/>
        <v>3469063.9815211669</v>
      </c>
      <c r="E34" s="224">
        <f t="shared" si="2"/>
        <v>3536520.9686822742</v>
      </c>
      <c r="F34" s="224">
        <f t="shared" si="2"/>
        <v>4411796.9960182458</v>
      </c>
      <c r="G34" s="224">
        <f t="shared" si="2"/>
        <v>5380708.840843007</v>
      </c>
      <c r="H34" s="224">
        <f t="shared" si="2"/>
        <v>8726388.2909920514</v>
      </c>
      <c r="I34" s="224">
        <f t="shared" si="2"/>
        <v>9900490.5575000197</v>
      </c>
    </row>
    <row r="35" spans="1:10" ht="14.25" customHeight="1">
      <c r="A35" s="228"/>
      <c r="B35" s="225" t="s">
        <v>478</v>
      </c>
      <c r="C35" s="225"/>
      <c r="D35" s="222">
        <f t="shared" ref="D35:I35" si="3">C36</f>
        <v>1990199.8931174576</v>
      </c>
      <c r="E35" s="222">
        <f t="shared" si="3"/>
        <v>5459263.8746386245</v>
      </c>
      <c r="F35" s="222">
        <f t="shared" si="3"/>
        <v>8995784.8433208987</v>
      </c>
      <c r="G35" s="222">
        <f t="shared" si="3"/>
        <v>13407581.839339145</v>
      </c>
      <c r="H35" s="222">
        <f t="shared" si="3"/>
        <v>18788290.680182151</v>
      </c>
      <c r="I35" s="222">
        <f t="shared" si="3"/>
        <v>27514678.971174203</v>
      </c>
    </row>
    <row r="36" spans="1:10" ht="14.25" customHeight="1">
      <c r="A36" s="221"/>
      <c r="B36" s="229" t="s">
        <v>479</v>
      </c>
      <c r="C36" s="224">
        <f t="shared" ref="C36:I36" si="4">C34+C35</f>
        <v>1990199.8931174576</v>
      </c>
      <c r="D36" s="224">
        <f t="shared" si="4"/>
        <v>5459263.8746386245</v>
      </c>
      <c r="E36" s="224">
        <f t="shared" si="4"/>
        <v>8995784.8433208987</v>
      </c>
      <c r="F36" s="224">
        <f t="shared" si="4"/>
        <v>13407581.839339145</v>
      </c>
      <c r="G36" s="224">
        <f t="shared" si="4"/>
        <v>18788290.680182151</v>
      </c>
      <c r="H36" s="224">
        <f t="shared" si="4"/>
        <v>27514678.971174203</v>
      </c>
      <c r="I36" s="224">
        <f t="shared" si="4"/>
        <v>37415169.528674223</v>
      </c>
    </row>
    <row r="37" spans="1:10" ht="14.25" customHeight="1"/>
    <row r="38" spans="1:10" ht="39.75" customHeight="1">
      <c r="A38" s="398" t="s">
        <v>480</v>
      </c>
      <c r="B38" s="360"/>
      <c r="C38" s="360"/>
      <c r="D38" s="360"/>
      <c r="E38" s="360"/>
      <c r="F38" s="360"/>
      <c r="G38" s="360"/>
      <c r="H38" s="360"/>
      <c r="I38" s="360"/>
      <c r="J38" s="360"/>
    </row>
    <row r="39" spans="1:10" ht="14.25" customHeight="1"/>
    <row r="40" spans="1:10" ht="14.25" customHeight="1">
      <c r="C40" s="27"/>
    </row>
    <row r="41" spans="1:10" ht="14.25" customHeight="1">
      <c r="C41" s="27"/>
    </row>
    <row r="42" spans="1:10" ht="14.25" customHeight="1">
      <c r="C42" s="27"/>
    </row>
    <row r="43" spans="1:10" ht="14.25" customHeight="1">
      <c r="C43" s="27"/>
    </row>
    <row r="44" spans="1:10" ht="14.25" customHeight="1">
      <c r="C44" s="27"/>
    </row>
    <row r="45" spans="1:10" ht="14.25" customHeight="1"/>
    <row r="46" spans="1:10" ht="14.25" customHeight="1"/>
    <row r="47" spans="1:10" ht="14.25" customHeight="1"/>
    <row r="48" spans="1:10"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1:G1"/>
    <mergeCell ref="A14:B14"/>
    <mergeCell ref="A2:I2"/>
    <mergeCell ref="A38:J38"/>
  </mergeCells>
  <pageMargins left="0.7" right="0.7" top="0.75" bottom="0.75" header="0" footer="0"/>
  <pageSetup scale="6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181"/>
  <sheetViews>
    <sheetView workbookViewId="0"/>
  </sheetViews>
  <sheetFormatPr defaultColWidth="14.42578125" defaultRowHeight="15" customHeight="1"/>
  <cols>
    <col min="1" max="1" width="8.7109375" customWidth="1"/>
    <col min="2" max="2" width="32.7109375" customWidth="1"/>
    <col min="3" max="3" width="22.5703125" customWidth="1"/>
    <col min="4" max="5" width="15.85546875" customWidth="1"/>
    <col min="6" max="6" width="16.5703125" customWidth="1"/>
    <col min="7" max="9" width="15.85546875" customWidth="1"/>
    <col min="10" max="10" width="14.85546875" customWidth="1"/>
    <col min="11" max="11" width="14.42578125" customWidth="1"/>
    <col min="12" max="12" width="14.85546875" customWidth="1"/>
    <col min="13" max="18" width="11.85546875" customWidth="1"/>
    <col min="19" max="19" width="4.5703125" customWidth="1"/>
  </cols>
  <sheetData>
    <row r="1" spans="2:10" ht="14.25" customHeight="1"/>
    <row r="2" spans="2:10" ht="14.25" customHeight="1"/>
    <row r="3" spans="2:10" ht="14.25" customHeight="1"/>
    <row r="4" spans="2:10" ht="14.25" customHeight="1"/>
    <row r="5" spans="2:10" ht="14.25" customHeight="1">
      <c r="B5" s="406" t="s">
        <v>481</v>
      </c>
      <c r="C5" s="360"/>
      <c r="D5" s="360"/>
      <c r="E5" s="360"/>
      <c r="F5" s="360"/>
      <c r="G5" s="360"/>
      <c r="H5" s="360"/>
      <c r="I5" s="360"/>
      <c r="J5" s="360"/>
    </row>
    <row r="6" spans="2:10" ht="14.25" customHeight="1">
      <c r="B6" s="230"/>
      <c r="C6" s="230"/>
      <c r="D6" s="230"/>
      <c r="E6" s="230"/>
      <c r="F6" s="230"/>
      <c r="G6" s="230"/>
      <c r="H6" s="230"/>
      <c r="I6" s="230"/>
      <c r="J6" s="230"/>
    </row>
    <row r="7" spans="2:10" ht="14.25" customHeight="1">
      <c r="B7" s="231" t="s">
        <v>482</v>
      </c>
      <c r="C7" s="232" t="s">
        <v>483</v>
      </c>
      <c r="D7" s="232" t="s">
        <v>204</v>
      </c>
      <c r="E7" s="232" t="s">
        <v>205</v>
      </c>
      <c r="F7" s="232" t="s">
        <v>206</v>
      </c>
      <c r="G7" s="232" t="s">
        <v>207</v>
      </c>
      <c r="H7" s="232" t="s">
        <v>208</v>
      </c>
      <c r="I7" s="232" t="s">
        <v>209</v>
      </c>
      <c r="J7" s="232" t="s">
        <v>210</v>
      </c>
    </row>
    <row r="8" spans="2:10" ht="14.25" customHeight="1">
      <c r="B8" s="133"/>
      <c r="C8" s="133"/>
      <c r="D8" s="133"/>
      <c r="E8" s="133"/>
      <c r="F8" s="133"/>
      <c r="G8" s="133"/>
      <c r="H8" s="133"/>
      <c r="I8" s="133"/>
      <c r="J8" s="133"/>
    </row>
    <row r="9" spans="2:10" ht="14.25" customHeight="1">
      <c r="B9" s="133" t="s">
        <v>484</v>
      </c>
      <c r="C9" s="133"/>
      <c r="D9" s="233">
        <f>'6.Cons Profit &amp; Loss'!B51</f>
        <v>1405629.9635680956</v>
      </c>
      <c r="E9" s="233">
        <f>'6.Cons Profit &amp; Loss'!C51</f>
        <v>2993275.5234623845</v>
      </c>
      <c r="F9" s="233">
        <f>'6.Cons Profit &amp; Loss'!D51</f>
        <v>3970662.5998519091</v>
      </c>
      <c r="G9" s="233">
        <f>'6.Cons Profit &amp; Loss'!E51</f>
        <v>5063273.5275440877</v>
      </c>
      <c r="H9" s="233">
        <f>'6.Cons Profit &amp; Loss'!F51</f>
        <v>6277083.7780115027</v>
      </c>
      <c r="I9" s="233">
        <f>'6.Cons Profit &amp; Loss'!G51</f>
        <v>7473870.5591000468</v>
      </c>
      <c r="J9" s="233">
        <f>'6.Cons Profit &amp; Loss'!H51</f>
        <v>8647972.8256080151</v>
      </c>
    </row>
    <row r="10" spans="2:10" ht="14.25" customHeight="1">
      <c r="B10" s="133"/>
      <c r="C10" s="133"/>
      <c r="D10" s="233"/>
      <c r="E10" s="233"/>
      <c r="F10" s="233"/>
      <c r="G10" s="233"/>
      <c r="H10" s="233"/>
      <c r="I10" s="233"/>
      <c r="J10" s="233"/>
    </row>
    <row r="11" spans="2:10" ht="14.25" customHeight="1">
      <c r="B11" s="136" t="s">
        <v>485</v>
      </c>
      <c r="C11" s="136"/>
      <c r="D11" s="233">
        <f>'6.Cons Profit &amp; Loss'!B42</f>
        <v>1252517.731892</v>
      </c>
      <c r="E11" s="233">
        <f>'6.Cons Profit &amp; Loss'!C42</f>
        <v>1252517.731892</v>
      </c>
      <c r="F11" s="233">
        <f>'6.Cons Profit &amp; Loss'!D42</f>
        <v>1252517.731892</v>
      </c>
      <c r="G11" s="233">
        <f>'6.Cons Profit &amp; Loss'!E42</f>
        <v>1252517.731892</v>
      </c>
      <c r="H11" s="233">
        <f>'6.Cons Profit &amp; Loss'!F42</f>
        <v>1252517.731892</v>
      </c>
      <c r="I11" s="233">
        <f>'6.Cons Profit &amp; Loss'!G42</f>
        <v>1252517.731892</v>
      </c>
      <c r="J11" s="233">
        <f>'6.Cons Profit &amp; Loss'!H42</f>
        <v>1252517.731892</v>
      </c>
    </row>
    <row r="12" spans="2:10" ht="14.25" customHeight="1">
      <c r="B12" s="133" t="s">
        <v>486</v>
      </c>
      <c r="C12" s="133"/>
      <c r="D12" s="233">
        <f>'6.Cons Profit &amp; Loss'!B43</f>
        <v>27000</v>
      </c>
      <c r="E12" s="233">
        <f>'6.Cons Profit &amp; Loss'!C43</f>
        <v>27000</v>
      </c>
      <c r="F12" s="233">
        <f>'6.Cons Profit &amp; Loss'!D43</f>
        <v>27000</v>
      </c>
      <c r="G12" s="233">
        <f>'6.Cons Profit &amp; Loss'!E43</f>
        <v>27000</v>
      </c>
      <c r="H12" s="233">
        <f>'6.Cons Profit &amp; Loss'!F43</f>
        <v>27000</v>
      </c>
      <c r="I12" s="233">
        <f>'6.Cons Profit &amp; Loss'!G43</f>
        <v>0</v>
      </c>
      <c r="J12" s="233">
        <f>'6.Cons Profit &amp; Loss'!H43</f>
        <v>0</v>
      </c>
    </row>
    <row r="13" spans="2:10" ht="14.25" customHeight="1">
      <c r="B13" s="133"/>
      <c r="C13" s="133"/>
      <c r="D13" s="133"/>
      <c r="E13" s="133"/>
      <c r="F13" s="133"/>
      <c r="G13" s="133"/>
      <c r="H13" s="133"/>
      <c r="I13" s="133"/>
      <c r="J13" s="133"/>
    </row>
    <row r="14" spans="2:10" ht="14.25" customHeight="1">
      <c r="B14" s="133" t="s">
        <v>487</v>
      </c>
      <c r="C14" s="133"/>
      <c r="D14" s="233">
        <f t="shared" ref="D14:J14" si="0">SUM(D9:D12)</f>
        <v>2685147.6954600955</v>
      </c>
      <c r="E14" s="233">
        <f t="shared" si="0"/>
        <v>4272793.255354384</v>
      </c>
      <c r="F14" s="233">
        <f t="shared" si="0"/>
        <v>5250180.331743909</v>
      </c>
      <c r="G14" s="233">
        <f t="shared" si="0"/>
        <v>6342791.2594360877</v>
      </c>
      <c r="H14" s="233">
        <f t="shared" si="0"/>
        <v>7556601.5099035027</v>
      </c>
      <c r="I14" s="233">
        <f t="shared" si="0"/>
        <v>8726388.2909920476</v>
      </c>
      <c r="J14" s="233">
        <f t="shared" si="0"/>
        <v>9900490.5575000159</v>
      </c>
    </row>
    <row r="15" spans="2:10" ht="14.25" customHeight="1">
      <c r="B15" s="133" t="s">
        <v>488</v>
      </c>
      <c r="C15" s="234">
        <f>-'1.Project Cost and MOF'!E22</f>
        <v>-27504655.640284203</v>
      </c>
      <c r="D15" s="233">
        <f t="shared" ref="D15:J15" si="1">D14</f>
        <v>2685147.6954600955</v>
      </c>
      <c r="E15" s="233">
        <f t="shared" si="1"/>
        <v>4272793.255354384</v>
      </c>
      <c r="F15" s="233">
        <f t="shared" si="1"/>
        <v>5250180.331743909</v>
      </c>
      <c r="G15" s="233">
        <f t="shared" si="1"/>
        <v>6342791.2594360877</v>
      </c>
      <c r="H15" s="233">
        <f t="shared" si="1"/>
        <v>7556601.5099035027</v>
      </c>
      <c r="I15" s="233">
        <f t="shared" si="1"/>
        <v>8726388.2909920476</v>
      </c>
      <c r="J15" s="233">
        <f t="shared" si="1"/>
        <v>9900490.5575000159</v>
      </c>
    </row>
    <row r="16" spans="2:10" ht="14.25" customHeight="1">
      <c r="B16" s="133" t="s">
        <v>489</v>
      </c>
      <c r="C16" s="235">
        <f>IRR(C15:J15)</f>
        <v>0.11293176152915185</v>
      </c>
      <c r="D16" s="233"/>
      <c r="E16" s="233"/>
      <c r="F16" s="233"/>
      <c r="G16" s="233"/>
      <c r="H16" s="233"/>
      <c r="I16" s="233"/>
      <c r="J16" s="233"/>
    </row>
    <row r="17" spans="2:19" ht="14.25" customHeight="1">
      <c r="B17" s="133"/>
      <c r="C17" s="133"/>
      <c r="D17" s="133"/>
      <c r="E17" s="133"/>
      <c r="F17" s="133"/>
      <c r="G17" s="133"/>
      <c r="H17" s="133"/>
      <c r="I17" s="133"/>
      <c r="J17" s="133"/>
    </row>
    <row r="18" spans="2:19" ht="14.25" customHeight="1">
      <c r="B18" s="236" t="s">
        <v>490</v>
      </c>
      <c r="C18" s="237"/>
      <c r="D18" s="238">
        <f>1/(1+$C$16)</f>
        <v>0.89852768567411068</v>
      </c>
      <c r="E18" s="239">
        <f t="shared" ref="E18:J18" si="2">D18/(1+$C$16)</f>
        <v>0.80735200192287337</v>
      </c>
      <c r="F18" s="239">
        <f t="shared" si="2"/>
        <v>0.72542812581211957</v>
      </c>
      <c r="G18" s="239">
        <f t="shared" si="2"/>
        <v>0.65181725500887133</v>
      </c>
      <c r="H18" s="239">
        <f t="shared" si="2"/>
        <v>0.58567584962557273</v>
      </c>
      <c r="I18" s="239">
        <f t="shared" si="2"/>
        <v>0.52624596571928428</v>
      </c>
      <c r="J18" s="239">
        <f t="shared" si="2"/>
        <v>0.47284656967308586</v>
      </c>
      <c r="L18" s="240"/>
      <c r="M18" s="240"/>
      <c r="N18" s="240"/>
      <c r="O18" s="240"/>
      <c r="P18" s="240"/>
      <c r="Q18" s="240"/>
      <c r="R18" s="240"/>
      <c r="S18" s="240"/>
    </row>
    <row r="19" spans="2:19" ht="14.25" customHeight="1">
      <c r="B19" s="133" t="s">
        <v>491</v>
      </c>
      <c r="C19" s="133"/>
      <c r="D19" s="233">
        <f t="shared" ref="D19:J19" si="3">D14*D18</f>
        <v>2412679.5444949316</v>
      </c>
      <c r="E19" s="233">
        <f t="shared" si="3"/>
        <v>3449648.188512913</v>
      </c>
      <c r="F19" s="233">
        <f t="shared" si="3"/>
        <v>3808628.4782326361</v>
      </c>
      <c r="G19" s="233">
        <f t="shared" si="3"/>
        <v>4134340.7878198926</v>
      </c>
      <c r="H19" s="233">
        <f t="shared" si="3"/>
        <v>4425719.0095946193</v>
      </c>
      <c r="I19" s="233">
        <f t="shared" si="3"/>
        <v>4592226.6334345648</v>
      </c>
      <c r="J19" s="233">
        <f t="shared" si="3"/>
        <v>4681412.9981946601</v>
      </c>
      <c r="L19" s="241"/>
    </row>
    <row r="20" spans="2:19" ht="14.25" customHeight="1">
      <c r="B20" s="133" t="s">
        <v>492</v>
      </c>
      <c r="C20" s="133"/>
      <c r="D20" s="400">
        <f>SUM(D19:J19)</f>
        <v>27504655.640284218</v>
      </c>
      <c r="E20" s="347"/>
      <c r="F20" s="347"/>
      <c r="G20" s="347"/>
      <c r="H20" s="347"/>
      <c r="I20" s="347"/>
      <c r="J20" s="348"/>
      <c r="L20" s="241"/>
    </row>
    <row r="21" spans="2:19" ht="14.25" customHeight="1">
      <c r="B21" s="133"/>
      <c r="C21" s="133"/>
      <c r="D21" s="233"/>
      <c r="E21" s="233"/>
      <c r="F21" s="233"/>
      <c r="G21" s="233"/>
      <c r="H21" s="233"/>
      <c r="I21" s="233"/>
      <c r="J21" s="233"/>
    </row>
    <row r="22" spans="2:19" ht="14.25" customHeight="1">
      <c r="B22" s="242" t="s">
        <v>493</v>
      </c>
      <c r="C22" s="242"/>
      <c r="D22" s="401">
        <f>'1.Project Cost and MOF'!D12</f>
        <v>27504655.640284203</v>
      </c>
      <c r="E22" s="360"/>
      <c r="F22" s="360"/>
      <c r="G22" s="360"/>
      <c r="H22" s="360"/>
      <c r="I22" s="360"/>
      <c r="J22" s="360"/>
    </row>
    <row r="23" spans="2:19" ht="14.25" customHeight="1">
      <c r="F23" s="240">
        <f>D20-D22</f>
        <v>0</v>
      </c>
    </row>
    <row r="24" spans="2:19" ht="29.25" customHeight="1">
      <c r="B24" s="399" t="s">
        <v>494</v>
      </c>
      <c r="C24" s="360"/>
      <c r="D24" s="360"/>
      <c r="E24" s="360"/>
      <c r="F24" s="360"/>
      <c r="G24" s="360"/>
      <c r="H24" s="360"/>
      <c r="I24" s="360"/>
      <c r="J24" s="360"/>
    </row>
    <row r="25" spans="2:19" ht="14.25" customHeight="1">
      <c r="K25" s="240"/>
      <c r="L25" s="240"/>
      <c r="M25" s="240"/>
    </row>
    <row r="26" spans="2:19" ht="14.25" customHeight="1">
      <c r="B26" s="359" t="s">
        <v>495</v>
      </c>
      <c r="C26" s="360"/>
      <c r="D26" s="360"/>
      <c r="E26" s="360"/>
      <c r="F26" s="360"/>
      <c r="G26" s="360"/>
      <c r="H26" s="360"/>
      <c r="I26" s="360"/>
    </row>
    <row r="27" spans="2:19" ht="14.25" customHeight="1">
      <c r="K27" s="240"/>
    </row>
    <row r="28" spans="2:19" ht="14.25" customHeight="1">
      <c r="B28" s="243" t="s">
        <v>201</v>
      </c>
      <c r="C28" s="244" t="s">
        <v>204</v>
      </c>
      <c r="D28" s="244" t="s">
        <v>205</v>
      </c>
      <c r="E28" s="244" t="s">
        <v>206</v>
      </c>
      <c r="F28" s="244" t="s">
        <v>207</v>
      </c>
      <c r="G28" s="244" t="s">
        <v>208</v>
      </c>
      <c r="H28" s="244" t="s">
        <v>209</v>
      </c>
      <c r="I28" s="244" t="s">
        <v>210</v>
      </c>
    </row>
    <row r="29" spans="2:19" ht="14.25" customHeight="1">
      <c r="B29" s="56"/>
      <c r="C29" s="56"/>
      <c r="D29" s="56"/>
      <c r="E29" s="56"/>
      <c r="F29" s="56"/>
      <c r="G29" s="56"/>
      <c r="H29" s="56"/>
      <c r="I29" s="56"/>
    </row>
    <row r="30" spans="2:19" ht="14.25" customHeight="1">
      <c r="B30" s="56" t="s">
        <v>496</v>
      </c>
      <c r="C30" s="56"/>
      <c r="D30" s="56"/>
      <c r="E30" s="56"/>
      <c r="F30" s="56"/>
      <c r="G30" s="56"/>
      <c r="H30" s="56"/>
      <c r="I30" s="56"/>
    </row>
    <row r="31" spans="2:19" ht="14.25" customHeight="1">
      <c r="B31" s="56"/>
      <c r="C31" s="97"/>
      <c r="D31" s="97"/>
      <c r="E31" s="97"/>
      <c r="F31" s="97"/>
      <c r="G31" s="97"/>
      <c r="H31" s="97"/>
      <c r="I31" s="97"/>
    </row>
    <row r="32" spans="2:19" ht="14.25" customHeight="1">
      <c r="B32" s="245" t="str">
        <f>'6.Cons Profit &amp; Loss'!A8</f>
        <v>Activity 1 - Flour Mill</v>
      </c>
      <c r="C32" s="97">
        <f>'6.Cons Profit &amp; Loss'!B8</f>
        <v>23906058.093605995</v>
      </c>
      <c r="D32" s="97">
        <f>'6.Cons Profit &amp; Loss'!C8</f>
        <v>30606045.427735046</v>
      </c>
      <c r="E32" s="97">
        <f>'6.Cons Profit &amp; Loss'!D8</f>
        <v>36760282.619858757</v>
      </c>
      <c r="F32" s="97">
        <f>'6.Cons Profit &amp; Loss'!E8</f>
        <v>43453428.417625487</v>
      </c>
      <c r="G32" s="97">
        <f>'6.Cons Profit &amp; Loss'!F8</f>
        <v>50723988.088619255</v>
      </c>
      <c r="H32" s="97">
        <f>'6.Cons Profit &amp; Loss'!G8</f>
        <v>58612970.155668333</v>
      </c>
      <c r="I32" s="97">
        <f>'6.Cons Profit &amp; Loss'!H8</f>
        <v>67164040.45920077</v>
      </c>
    </row>
    <row r="33" spans="2:9" ht="14.25" customHeight="1">
      <c r="B33" s="245" t="str">
        <f>'6.Cons Profit &amp; Loss'!A9</f>
        <v>Activity 2 - Cleaning &amp; Grading Unit</v>
      </c>
      <c r="C33" s="97">
        <f>'6.Cons Profit &amp; Loss'!B9</f>
        <v>25323936.622074995</v>
      </c>
      <c r="D33" s="97">
        <f>'6.Cons Profit &amp; Loss'!C9</f>
        <v>30491826.05984287</v>
      </c>
      <c r="E33" s="97">
        <f>'6.Cons Profit &amp; Loss'!D9</f>
        <v>34957344.743260145</v>
      </c>
      <c r="F33" s="97">
        <f>'6.Cons Profit &amp; Loss'!E9</f>
        <v>39793185.729869537</v>
      </c>
      <c r="G33" s="97">
        <f>'6.Cons Profit &amp; Loss'!F9</f>
        <v>45025217.453281716</v>
      </c>
      <c r="H33" s="97">
        <f>'6.Cons Profit &amp; Loss'!G9</f>
        <v>50680969.384710439</v>
      </c>
      <c r="I33" s="97">
        <f>'6.Cons Profit &amp; Loss'!H9</f>
        <v>56789733.465648837</v>
      </c>
    </row>
    <row r="34" spans="2:9" ht="14.25" customHeight="1">
      <c r="B34" s="245" t="str">
        <f>'6.Cons Profit &amp; Loss'!A10</f>
        <v>Faclitiy 3 - Warehouse</v>
      </c>
      <c r="C34" s="97">
        <f>'6.Cons Profit &amp; Loss'!B10</f>
        <v>1152000</v>
      </c>
      <c r="D34" s="97">
        <f>'6.Cons Profit &amp; Loss'!C10</f>
        <v>1285200.0000000002</v>
      </c>
      <c r="E34" s="97">
        <f>'6.Cons Profit &amp; Loss'!D10</f>
        <v>1428840.0000000002</v>
      </c>
      <c r="F34" s="97">
        <f>'6.Cons Profit &amp; Loss'!E10</f>
        <v>1583631.0000000007</v>
      </c>
      <c r="G34" s="97">
        <f>'6.Cons Profit &amp; Loss'!F10</f>
        <v>1750329.0000000009</v>
      </c>
      <c r="H34" s="97">
        <f>'6.Cons Profit &amp; Loss'!G10</f>
        <v>1837845.4500000011</v>
      </c>
      <c r="I34" s="97">
        <f>'6.Cons Profit &amp; Loss'!H10</f>
        <v>1929737.7225000013</v>
      </c>
    </row>
    <row r="35" spans="2:9" ht="14.25" customHeight="1">
      <c r="B35" s="245" t="str">
        <f>'6.Cons Profit &amp; Loss'!A11</f>
        <v xml:space="preserve">Faclitiy 4 - Custom Hiring </v>
      </c>
      <c r="C35" s="97">
        <f>'6.Cons Profit &amp; Loss'!B11</f>
        <v>0</v>
      </c>
      <c r="D35" s="97">
        <f>'6.Cons Profit &amp; Loss'!C11</f>
        <v>0</v>
      </c>
      <c r="E35" s="97">
        <f>'6.Cons Profit &amp; Loss'!D11</f>
        <v>0</v>
      </c>
      <c r="F35" s="97">
        <f>'6.Cons Profit &amp; Loss'!E11</f>
        <v>0</v>
      </c>
      <c r="G35" s="97">
        <f>'6.Cons Profit &amp; Loss'!F11</f>
        <v>0</v>
      </c>
      <c r="H35" s="97">
        <f>'6.Cons Profit &amp; Loss'!G11</f>
        <v>0</v>
      </c>
      <c r="I35" s="97">
        <f>'6.Cons Profit &amp; Loss'!H11</f>
        <v>0</v>
      </c>
    </row>
    <row r="36" spans="2:9" ht="14.25" customHeight="1">
      <c r="B36" s="245" t="str">
        <f>'6.Cons Profit &amp; Loss'!A12</f>
        <v>Faclitiy 5 - Agri Input Centre</v>
      </c>
      <c r="C36" s="97">
        <f>'6.Cons Profit &amp; Loss'!B12</f>
        <v>0</v>
      </c>
      <c r="D36" s="97">
        <f>'6.Cons Profit &amp; Loss'!C12</f>
        <v>0</v>
      </c>
      <c r="E36" s="97">
        <f>'6.Cons Profit &amp; Loss'!D12</f>
        <v>0</v>
      </c>
      <c r="F36" s="97">
        <f>'6.Cons Profit &amp; Loss'!E12</f>
        <v>0</v>
      </c>
      <c r="G36" s="97">
        <f>'6.Cons Profit &amp; Loss'!F12</f>
        <v>0</v>
      </c>
      <c r="H36" s="97">
        <f>'6.Cons Profit &amp; Loss'!G12</f>
        <v>0</v>
      </c>
      <c r="I36" s="97">
        <f>'6.Cons Profit &amp; Loss'!H12</f>
        <v>0</v>
      </c>
    </row>
    <row r="37" spans="2:9" ht="14.25" customHeight="1">
      <c r="B37" s="245" t="str">
        <f>'6.Cons Profit &amp; Loss'!A13</f>
        <v>Facility 4 - Roasted Channa</v>
      </c>
      <c r="C37" s="97">
        <f>'6.Cons Profit &amp; Loss'!B13</f>
        <v>0</v>
      </c>
      <c r="D37" s="97">
        <f>'6.Cons Profit &amp; Loss'!C13</f>
        <v>0</v>
      </c>
      <c r="E37" s="97">
        <f>'6.Cons Profit &amp; Loss'!D13</f>
        <v>0</v>
      </c>
      <c r="F37" s="97">
        <f>'6.Cons Profit &amp; Loss'!E13</f>
        <v>0</v>
      </c>
      <c r="G37" s="97">
        <f>'6.Cons Profit &amp; Loss'!F13</f>
        <v>0</v>
      </c>
      <c r="H37" s="97">
        <f>'6.Cons Profit &amp; Loss'!G13</f>
        <v>0</v>
      </c>
      <c r="I37" s="97">
        <f>'6.Cons Profit &amp; Loss'!H13</f>
        <v>0</v>
      </c>
    </row>
    <row r="38" spans="2:9" ht="14.25" customHeight="1">
      <c r="B38" s="245"/>
      <c r="C38" s="245"/>
      <c r="D38" s="245"/>
      <c r="E38" s="245"/>
      <c r="F38" s="245"/>
      <c r="G38" s="245"/>
      <c r="H38" s="245"/>
      <c r="I38" s="245"/>
    </row>
    <row r="39" spans="2:9" ht="14.25" customHeight="1">
      <c r="B39" s="56" t="s">
        <v>497</v>
      </c>
      <c r="C39" s="97">
        <f t="shared" ref="C39:I39" si="4">SUM(C32:C38)</f>
        <v>50381994.715680987</v>
      </c>
      <c r="D39" s="97">
        <f t="shared" si="4"/>
        <v>62383071.487577915</v>
      </c>
      <c r="E39" s="97">
        <f t="shared" si="4"/>
        <v>73146467.363118902</v>
      </c>
      <c r="F39" s="97">
        <f t="shared" si="4"/>
        <v>84830245.147495031</v>
      </c>
      <c r="G39" s="97">
        <f t="shared" si="4"/>
        <v>97499534.541900963</v>
      </c>
      <c r="H39" s="97">
        <f t="shared" si="4"/>
        <v>111131784.99037878</v>
      </c>
      <c r="I39" s="97">
        <f t="shared" si="4"/>
        <v>125883511.6473496</v>
      </c>
    </row>
    <row r="40" spans="2:9" ht="14.25" customHeight="1">
      <c r="B40" s="56"/>
      <c r="C40" s="97"/>
      <c r="D40" s="97"/>
      <c r="E40" s="97"/>
      <c r="F40" s="97"/>
      <c r="G40" s="97"/>
      <c r="H40" s="97"/>
      <c r="I40" s="97"/>
    </row>
    <row r="41" spans="2:9" ht="14.25" customHeight="1">
      <c r="B41" s="56" t="s">
        <v>498</v>
      </c>
      <c r="C41" s="97">
        <f>'6.Cons Profit &amp; Loss'!B25</f>
        <v>44279525.164500542</v>
      </c>
      <c r="D41" s="97">
        <f>'6.Cons Profit &amp; Loss'!C25</f>
        <v>54090328.428730629</v>
      </c>
      <c r="E41" s="97">
        <f>'6.Cons Profit &amp; Loss'!D25</f>
        <v>63401530.084520414</v>
      </c>
      <c r="F41" s="97">
        <f>'6.Cons Profit &amp; Loss'!E25</f>
        <v>73508626.084817365</v>
      </c>
      <c r="G41" s="97">
        <f>'6.Cons Profit &amp; Loss'!F25</f>
        <v>84467927.859932691</v>
      </c>
      <c r="H41" s="97">
        <f>'6.Cons Profit &amp; Loss'!G25</f>
        <v>96339388.247347549</v>
      </c>
      <c r="I41" s="97">
        <f>'6.Cons Profit &amp; Loss'!H25</f>
        <v>109186824.85385402</v>
      </c>
    </row>
    <row r="42" spans="2:9" ht="14.25" customHeight="1">
      <c r="B42" s="56"/>
      <c r="C42" s="97"/>
      <c r="D42" s="97"/>
      <c r="E42" s="97"/>
      <c r="F42" s="97"/>
      <c r="G42" s="97"/>
      <c r="H42" s="97"/>
      <c r="I42" s="97"/>
    </row>
    <row r="43" spans="2:9" ht="14.25" customHeight="1">
      <c r="B43" s="98" t="s">
        <v>499</v>
      </c>
      <c r="C43" s="99">
        <f t="shared" ref="C43:I43" si="5">C39-C41</f>
        <v>6102469.5511804447</v>
      </c>
      <c r="D43" s="99">
        <f t="shared" si="5"/>
        <v>8292743.0588472858</v>
      </c>
      <c r="E43" s="99">
        <f t="shared" si="5"/>
        <v>9744937.2785984874</v>
      </c>
      <c r="F43" s="99">
        <f t="shared" si="5"/>
        <v>11321619.062677667</v>
      </c>
      <c r="G43" s="99">
        <f t="shared" si="5"/>
        <v>13031606.681968272</v>
      </c>
      <c r="H43" s="99">
        <f t="shared" si="5"/>
        <v>14792396.743031234</v>
      </c>
      <c r="I43" s="99">
        <f t="shared" si="5"/>
        <v>16696686.793495581</v>
      </c>
    </row>
    <row r="44" spans="2:9" ht="14.25" customHeight="1">
      <c r="B44" s="56"/>
      <c r="C44" s="97"/>
      <c r="D44" s="97"/>
      <c r="E44" s="97"/>
      <c r="F44" s="97"/>
      <c r="G44" s="97"/>
      <c r="H44" s="97"/>
      <c r="I44" s="97"/>
    </row>
    <row r="45" spans="2:9" ht="14.25" customHeight="1">
      <c r="B45" s="98" t="s">
        <v>500</v>
      </c>
      <c r="C45" s="99">
        <f>'6.Cons Profit &amp; Loss'!B36+'3.Other Exp &amp; Taxes'!K67+'3.Other Exp &amp; Taxes'!C87</f>
        <v>5576114.8859999999</v>
      </c>
      <c r="D45" s="99">
        <f>'6.Cons Profit &amp; Loss'!C36+'3.Other Exp &amp; Taxes'!L67+'3.Other Exp &amp; Taxes'!D87</f>
        <v>5241725.1530999998</v>
      </c>
      <c r="E45" s="99">
        <f>'6.Cons Profit &amp; Loss'!D36+'3.Other Exp &amp; Taxes'!M67+'3.Other Exp &amp; Taxes'!E87</f>
        <v>4978256.1301349998</v>
      </c>
      <c r="F45" s="99">
        <f>'6.Cons Profit &amp; Loss'!E36+'3.Other Exp &amp; Taxes'!N67+'3.Other Exp &amp; Taxes'!F87</f>
        <v>4774631.4856147505</v>
      </c>
      <c r="G45" s="99">
        <f>'6.Cons Profit &amp; Loss'!F36+'3.Other Exp &amp; Taxes'!O67+'3.Other Exp &amp; Taxes'!G87</f>
        <v>4622318.0602725381</v>
      </c>
      <c r="H45" s="99">
        <f>'6.Cons Profit &amp; Loss'!G36+'3.Other Exp &amp; Taxes'!P67+'3.Other Exp &amp; Taxes'!H87</f>
        <v>4487595.7139816582</v>
      </c>
      <c r="I45" s="99">
        <f>'6.Cons Profit &amp; Loss'!H36+'3.Other Exp &amp; Taxes'!Q67+'3.Other Exp &amp; Taxes'!I87</f>
        <v>4419079.4981094096</v>
      </c>
    </row>
    <row r="46" spans="2:9" ht="14.25" customHeight="1">
      <c r="B46" s="56"/>
      <c r="C46" s="56"/>
      <c r="D46" s="56"/>
      <c r="E46" s="56"/>
      <c r="F46" s="56"/>
      <c r="G46" s="56"/>
      <c r="H46" s="56"/>
      <c r="I46" s="56"/>
    </row>
    <row r="47" spans="2:9" ht="14.25" customHeight="1">
      <c r="B47" s="56" t="s">
        <v>501</v>
      </c>
      <c r="C47" s="171">
        <f t="shared" ref="C47:I47" si="6">C45/C43</f>
        <v>0.91374726891039904</v>
      </c>
      <c r="D47" s="171">
        <f t="shared" si="6"/>
        <v>0.63208580271973525</v>
      </c>
      <c r="E47" s="171">
        <f t="shared" si="6"/>
        <v>0.51085563588675764</v>
      </c>
      <c r="F47" s="171">
        <f t="shared" si="6"/>
        <v>0.42172691548637092</v>
      </c>
      <c r="G47" s="171">
        <f t="shared" si="6"/>
        <v>0.35470055021445684</v>
      </c>
      <c r="H47" s="171">
        <f t="shared" si="6"/>
        <v>0.30337177889011024</v>
      </c>
      <c r="I47" s="171">
        <f t="shared" si="6"/>
        <v>0.26466804778484088</v>
      </c>
    </row>
    <row r="48" spans="2:9" ht="14.25" customHeight="1">
      <c r="B48" s="92"/>
      <c r="C48" s="92"/>
      <c r="D48" s="92"/>
      <c r="E48" s="92"/>
      <c r="F48" s="92"/>
      <c r="G48" s="92"/>
      <c r="H48" s="92"/>
      <c r="I48" s="92"/>
    </row>
    <row r="49" spans="2:10" ht="14.25" customHeight="1">
      <c r="B49" s="246" t="s">
        <v>502</v>
      </c>
      <c r="C49" s="247">
        <f>AVERAGE(C47:I47)</f>
        <v>0.48587942855609578</v>
      </c>
      <c r="D49" s="92"/>
      <c r="E49" s="92"/>
      <c r="F49" s="92"/>
      <c r="G49" s="92"/>
      <c r="H49" s="92"/>
      <c r="I49" s="92"/>
    </row>
    <row r="50" spans="2:10" ht="14.25" customHeight="1"/>
    <row r="51" spans="2:10" ht="41.25" customHeight="1">
      <c r="B51" s="407" t="s">
        <v>503</v>
      </c>
      <c r="C51" s="360"/>
      <c r="D51" s="360"/>
      <c r="E51" s="360"/>
      <c r="F51" s="360"/>
      <c r="G51" s="360"/>
      <c r="H51" s="360"/>
      <c r="I51" s="360"/>
      <c r="J51" s="360"/>
    </row>
    <row r="52" spans="2:10" ht="14.25" customHeight="1"/>
    <row r="53" spans="2:10" ht="14.25" customHeight="1"/>
    <row r="54" spans="2:10" ht="14.25" customHeight="1">
      <c r="B54" s="359" t="s">
        <v>504</v>
      </c>
      <c r="C54" s="360"/>
      <c r="D54" s="360"/>
      <c r="E54" s="360"/>
      <c r="F54" s="360"/>
      <c r="G54" s="360"/>
      <c r="H54" s="360"/>
      <c r="I54" s="360"/>
    </row>
    <row r="55" spans="2:10" ht="14.25" customHeight="1"/>
    <row r="56" spans="2:10" ht="14.25" customHeight="1">
      <c r="B56" s="168" t="s">
        <v>482</v>
      </c>
      <c r="C56" s="169" t="s">
        <v>204</v>
      </c>
      <c r="D56" s="169" t="s">
        <v>205</v>
      </c>
      <c r="E56" s="169" t="s">
        <v>206</v>
      </c>
      <c r="F56" s="169" t="s">
        <v>207</v>
      </c>
      <c r="G56" s="169" t="s">
        <v>208</v>
      </c>
      <c r="H56" s="169" t="s">
        <v>209</v>
      </c>
      <c r="I56" s="169" t="s">
        <v>210</v>
      </c>
    </row>
    <row r="57" spans="2:10" ht="14.25" customHeight="1">
      <c r="B57" s="56"/>
      <c r="C57" s="56"/>
      <c r="D57" s="56"/>
      <c r="E57" s="56"/>
      <c r="F57" s="56"/>
      <c r="G57" s="56"/>
      <c r="H57" s="56"/>
      <c r="I57" s="56"/>
    </row>
    <row r="58" spans="2:10" ht="14.25" customHeight="1">
      <c r="B58" s="56" t="s">
        <v>505</v>
      </c>
      <c r="C58" s="248">
        <f>'6.Cons Profit &amp; Loss'!B51</f>
        <v>1405629.9635680956</v>
      </c>
      <c r="D58" s="248">
        <f>'6.Cons Profit &amp; Loss'!C51</f>
        <v>2993275.5234623845</v>
      </c>
      <c r="E58" s="248">
        <f>'6.Cons Profit &amp; Loss'!D51</f>
        <v>3970662.5998519091</v>
      </c>
      <c r="F58" s="248">
        <f>'6.Cons Profit &amp; Loss'!E51</f>
        <v>5063273.5275440877</v>
      </c>
      <c r="G58" s="248">
        <f>'6.Cons Profit &amp; Loss'!F51</f>
        <v>6277083.7780115027</v>
      </c>
      <c r="H58" s="248">
        <f>'6.Cons Profit &amp; Loss'!G51</f>
        <v>7473870.5591000468</v>
      </c>
      <c r="I58" s="248">
        <f>'6.Cons Profit &amp; Loss'!H51</f>
        <v>8647972.8256080151</v>
      </c>
    </row>
    <row r="59" spans="2:10" ht="14.25" customHeight="1">
      <c r="B59" s="56"/>
      <c r="C59" s="248"/>
      <c r="D59" s="248"/>
      <c r="E59" s="248"/>
      <c r="F59" s="248"/>
      <c r="G59" s="248"/>
      <c r="H59" s="248"/>
      <c r="I59" s="248"/>
    </row>
    <row r="60" spans="2:10" ht="14.25" customHeight="1">
      <c r="B60" s="56" t="s">
        <v>506</v>
      </c>
      <c r="C60" s="248">
        <f>'6.Cons Profit &amp; Loss'!B42</f>
        <v>1252517.731892</v>
      </c>
      <c r="D60" s="248">
        <f>'6.Cons Profit &amp; Loss'!C42</f>
        <v>1252517.731892</v>
      </c>
      <c r="E60" s="248">
        <f>'6.Cons Profit &amp; Loss'!D42</f>
        <v>1252517.731892</v>
      </c>
      <c r="F60" s="248">
        <f>'6.Cons Profit &amp; Loss'!E42</f>
        <v>1252517.731892</v>
      </c>
      <c r="G60" s="248">
        <f>'6.Cons Profit &amp; Loss'!F42</f>
        <v>1252517.731892</v>
      </c>
      <c r="H60" s="248">
        <f>'6.Cons Profit &amp; Loss'!G42</f>
        <v>1252517.731892</v>
      </c>
      <c r="I60" s="248">
        <f>'6.Cons Profit &amp; Loss'!H42</f>
        <v>1252517.731892</v>
      </c>
    </row>
    <row r="61" spans="2:10" ht="14.25" customHeight="1">
      <c r="B61" s="249" t="s">
        <v>507</v>
      </c>
      <c r="C61" s="248">
        <f>'6.Cons Profit &amp; Loss'!B43</f>
        <v>27000</v>
      </c>
      <c r="D61" s="248">
        <f>'6.Cons Profit &amp; Loss'!C43</f>
        <v>27000</v>
      </c>
      <c r="E61" s="248">
        <f>'6.Cons Profit &amp; Loss'!D43</f>
        <v>27000</v>
      </c>
      <c r="F61" s="248">
        <f>'6.Cons Profit &amp; Loss'!E43</f>
        <v>27000</v>
      </c>
      <c r="G61" s="248">
        <f>'6.Cons Profit &amp; Loss'!F43</f>
        <v>27000</v>
      </c>
      <c r="H61" s="248">
        <f>'6.Cons Profit &amp; Loss'!G43</f>
        <v>0</v>
      </c>
      <c r="I61" s="248">
        <f>'6.Cons Profit &amp; Loss'!H43</f>
        <v>0</v>
      </c>
    </row>
    <row r="62" spans="2:10" ht="14.25" customHeight="1">
      <c r="B62" s="56"/>
      <c r="C62" s="248"/>
      <c r="D62" s="248"/>
      <c r="E62" s="248"/>
      <c r="F62" s="248"/>
      <c r="G62" s="248"/>
      <c r="H62" s="248"/>
      <c r="I62" s="248"/>
    </row>
    <row r="63" spans="2:10" ht="14.25" customHeight="1">
      <c r="B63" s="56" t="s">
        <v>487</v>
      </c>
      <c r="C63" s="248">
        <f t="shared" ref="C63:I63" si="7">SUM(C58:C61)</f>
        <v>2685147.6954600955</v>
      </c>
      <c r="D63" s="248">
        <f t="shared" si="7"/>
        <v>4272793.255354384</v>
      </c>
      <c r="E63" s="248">
        <f t="shared" si="7"/>
        <v>5250180.331743909</v>
      </c>
      <c r="F63" s="248">
        <f t="shared" si="7"/>
        <v>6342791.2594360877</v>
      </c>
      <c r="G63" s="248">
        <f t="shared" si="7"/>
        <v>7556601.5099035027</v>
      </c>
      <c r="H63" s="248">
        <f t="shared" si="7"/>
        <v>8726388.2909920476</v>
      </c>
      <c r="I63" s="248">
        <f t="shared" si="7"/>
        <v>9900490.5575000159</v>
      </c>
    </row>
    <row r="64" spans="2:10" ht="14.25" customHeight="1">
      <c r="B64" s="56"/>
      <c r="C64" s="56"/>
      <c r="D64" s="56"/>
      <c r="E64" s="56"/>
      <c r="F64" s="56"/>
      <c r="G64" s="56"/>
      <c r="H64" s="56"/>
      <c r="I64" s="56"/>
    </row>
    <row r="65" spans="2:10" ht="14.25" customHeight="1">
      <c r="B65" s="250" t="s">
        <v>508</v>
      </c>
      <c r="C65" s="245">
        <f>1/1.1</f>
        <v>0.90909090909090906</v>
      </c>
      <c r="D65" s="245">
        <f t="shared" ref="D65:I65" si="8">C65/1.1</f>
        <v>0.82644628099173545</v>
      </c>
      <c r="E65" s="245">
        <f t="shared" si="8"/>
        <v>0.75131480090157765</v>
      </c>
      <c r="F65" s="245">
        <f t="shared" si="8"/>
        <v>0.68301345536507052</v>
      </c>
      <c r="G65" s="245">
        <f t="shared" si="8"/>
        <v>0.62092132305915493</v>
      </c>
      <c r="H65" s="245">
        <f t="shared" si="8"/>
        <v>0.56447393005377711</v>
      </c>
      <c r="I65" s="245">
        <f t="shared" si="8"/>
        <v>0.51315811823070645</v>
      </c>
    </row>
    <row r="66" spans="2:10" ht="14.25" customHeight="1">
      <c r="B66" s="56"/>
      <c r="C66" s="56"/>
      <c r="D66" s="56"/>
      <c r="E66" s="56"/>
      <c r="F66" s="56"/>
      <c r="G66" s="56"/>
      <c r="H66" s="56"/>
      <c r="I66" s="56"/>
    </row>
    <row r="67" spans="2:10" ht="14.25" customHeight="1">
      <c r="B67" s="250" t="s">
        <v>509</v>
      </c>
      <c r="C67" s="97">
        <f t="shared" ref="C67:I67" si="9">C63*C65</f>
        <v>2441043.3595091775</v>
      </c>
      <c r="D67" s="97">
        <f t="shared" si="9"/>
        <v>3531234.0953342011</v>
      </c>
      <c r="E67" s="97">
        <f t="shared" si="9"/>
        <v>3944538.1906415541</v>
      </c>
      <c r="F67" s="97">
        <f t="shared" si="9"/>
        <v>4332211.7747668093</v>
      </c>
      <c r="G67" s="97">
        <f t="shared" si="9"/>
        <v>4692055.0073600905</v>
      </c>
      <c r="H67" s="97">
        <f t="shared" si="9"/>
        <v>4925818.693791545</v>
      </c>
      <c r="I67" s="97">
        <f t="shared" si="9"/>
        <v>5080517.1040475862</v>
      </c>
    </row>
    <row r="68" spans="2:10" ht="14.25" customHeight="1">
      <c r="B68" s="92"/>
      <c r="C68" s="158"/>
      <c r="D68" s="158"/>
      <c r="E68" s="158"/>
      <c r="F68" s="158"/>
      <c r="G68" s="158"/>
      <c r="H68" s="158"/>
      <c r="I68" s="158"/>
    </row>
    <row r="69" spans="2:10" ht="14.25" customHeight="1">
      <c r="B69" s="251" t="s">
        <v>510</v>
      </c>
      <c r="C69" s="158">
        <f>SUM(C67:I67)</f>
        <v>28947418.225450963</v>
      </c>
      <c r="D69" s="158"/>
      <c r="E69" s="158"/>
      <c r="F69" s="158"/>
      <c r="G69" s="158"/>
      <c r="H69" s="158"/>
      <c r="I69" s="158"/>
    </row>
    <row r="70" spans="2:10" ht="14.25" customHeight="1">
      <c r="B70" s="92"/>
      <c r="C70" s="158"/>
      <c r="D70" s="158"/>
      <c r="E70" s="158"/>
      <c r="F70" s="158"/>
      <c r="G70" s="158"/>
      <c r="H70" s="158"/>
      <c r="I70" s="158"/>
    </row>
    <row r="71" spans="2:10" ht="14.25" customHeight="1">
      <c r="B71" s="251" t="s">
        <v>511</v>
      </c>
      <c r="C71" s="158">
        <f>'1.Project Cost and MOF'!D12</f>
        <v>27504655.640284203</v>
      </c>
      <c r="D71" s="158"/>
      <c r="E71" s="158"/>
      <c r="F71" s="158"/>
      <c r="G71" s="158"/>
      <c r="H71" s="158"/>
      <c r="I71" s="158"/>
    </row>
    <row r="72" spans="2:10" ht="14.25" customHeight="1">
      <c r="B72" s="92"/>
      <c r="C72" s="252"/>
      <c r="D72" s="92"/>
      <c r="E72" s="92"/>
      <c r="F72" s="92"/>
      <c r="G72" s="92"/>
      <c r="H72" s="92"/>
      <c r="I72" s="92"/>
    </row>
    <row r="73" spans="2:10" ht="14.25" customHeight="1">
      <c r="B73" s="251" t="s">
        <v>512</v>
      </c>
      <c r="C73" s="252">
        <f>C69-C71</f>
        <v>1442762.5851667598</v>
      </c>
      <c r="D73" s="92"/>
      <c r="E73" s="92"/>
      <c r="F73" s="92"/>
      <c r="G73" s="92"/>
      <c r="H73" s="92"/>
      <c r="I73" s="92"/>
    </row>
    <row r="74" spans="2:10" ht="14.25" customHeight="1"/>
    <row r="75" spans="2:10" ht="34.5" customHeight="1">
      <c r="B75" s="393" t="s">
        <v>513</v>
      </c>
      <c r="C75" s="360"/>
      <c r="D75" s="360"/>
      <c r="E75" s="360"/>
      <c r="F75" s="360"/>
      <c r="G75" s="360"/>
      <c r="H75" s="360"/>
      <c r="I75" s="360"/>
      <c r="J75" s="360"/>
    </row>
    <row r="76" spans="2:10" ht="14.25" customHeight="1">
      <c r="B76" s="359" t="s">
        <v>514</v>
      </c>
      <c r="C76" s="360"/>
      <c r="D76" s="360"/>
      <c r="E76" s="360"/>
      <c r="F76" s="360"/>
      <c r="G76" s="360"/>
      <c r="H76" s="360"/>
      <c r="I76" s="360"/>
    </row>
    <row r="77" spans="2:10" ht="14.25" customHeight="1">
      <c r="B77" s="92"/>
      <c r="C77" s="92"/>
      <c r="D77" s="92"/>
      <c r="E77" s="92"/>
      <c r="F77" s="92"/>
      <c r="G77" s="92"/>
      <c r="H77" s="92"/>
      <c r="I77" s="92"/>
    </row>
    <row r="78" spans="2:10" ht="14.25" customHeight="1">
      <c r="B78" s="253" t="s">
        <v>201</v>
      </c>
      <c r="C78" s="253" t="s">
        <v>204</v>
      </c>
      <c r="D78" s="253" t="s">
        <v>205</v>
      </c>
      <c r="E78" s="253" t="s">
        <v>206</v>
      </c>
      <c r="F78" s="253" t="s">
        <v>207</v>
      </c>
      <c r="G78" s="253" t="s">
        <v>208</v>
      </c>
      <c r="H78" s="253" t="s">
        <v>209</v>
      </c>
      <c r="I78" s="253" t="s">
        <v>210</v>
      </c>
    </row>
    <row r="79" spans="2:10" ht="14.25" customHeight="1">
      <c r="B79" s="254"/>
      <c r="C79" s="255"/>
      <c r="D79" s="255"/>
      <c r="E79" s="255"/>
      <c r="F79" s="255"/>
      <c r="G79" s="255"/>
      <c r="H79" s="255"/>
      <c r="I79" s="255"/>
    </row>
    <row r="80" spans="2:10" ht="14.25" customHeight="1">
      <c r="B80" s="98" t="s">
        <v>515</v>
      </c>
      <c r="C80" s="97">
        <f>'6.Cons Profit &amp; Loss'!B51</f>
        <v>1405629.9635680956</v>
      </c>
      <c r="D80" s="97">
        <f>'6.Cons Profit &amp; Loss'!C51</f>
        <v>2993275.5234623845</v>
      </c>
      <c r="E80" s="97">
        <f>'6.Cons Profit &amp; Loss'!D51</f>
        <v>3970662.5998519091</v>
      </c>
      <c r="F80" s="97">
        <f>'6.Cons Profit &amp; Loss'!E51</f>
        <v>5063273.5275440877</v>
      </c>
      <c r="G80" s="97">
        <f>'6.Cons Profit &amp; Loss'!F51</f>
        <v>6277083.7780115027</v>
      </c>
      <c r="H80" s="97">
        <f>'6.Cons Profit &amp; Loss'!G51</f>
        <v>7473870.5591000468</v>
      </c>
      <c r="I80" s="97">
        <f>'6.Cons Profit &amp; Loss'!H51</f>
        <v>8647972.8256080151</v>
      </c>
    </row>
    <row r="81" spans="2:10" ht="14.25" customHeight="1">
      <c r="B81" s="56"/>
      <c r="C81" s="56"/>
      <c r="D81" s="56"/>
      <c r="E81" s="56"/>
      <c r="F81" s="56"/>
      <c r="G81" s="56"/>
      <c r="H81" s="56"/>
      <c r="I81" s="56"/>
    </row>
    <row r="82" spans="2:10" ht="14.25" customHeight="1">
      <c r="B82" s="98" t="s">
        <v>516</v>
      </c>
      <c r="C82" s="403">
        <f>AVERAGE(C80:I80)</f>
        <v>5118824.1110208631</v>
      </c>
      <c r="D82" s="347"/>
      <c r="E82" s="347"/>
      <c r="F82" s="347"/>
      <c r="G82" s="347"/>
      <c r="H82" s="347"/>
      <c r="I82" s="348"/>
    </row>
    <row r="83" spans="2:10" ht="14.25" customHeight="1">
      <c r="B83" s="98" t="s">
        <v>517</v>
      </c>
      <c r="C83" s="403">
        <f>'1.Project Cost and MOF'!D12</f>
        <v>27504655.640284203</v>
      </c>
      <c r="D83" s="347"/>
      <c r="E83" s="347"/>
      <c r="F83" s="347"/>
      <c r="G83" s="347"/>
      <c r="H83" s="347"/>
      <c r="I83" s="348"/>
    </row>
    <row r="84" spans="2:10" ht="14.25" customHeight="1">
      <c r="B84" s="56"/>
      <c r="C84" s="56"/>
      <c r="D84" s="56"/>
      <c r="E84" s="56"/>
      <c r="F84" s="56"/>
      <c r="G84" s="56"/>
      <c r="H84" s="56"/>
      <c r="I84" s="56"/>
    </row>
    <row r="85" spans="2:10" ht="14.25" customHeight="1">
      <c r="B85" s="256" t="s">
        <v>518</v>
      </c>
      <c r="C85" s="404">
        <f>C82/C83</f>
        <v>0.18610755131664578</v>
      </c>
      <c r="D85" s="347"/>
      <c r="E85" s="347"/>
      <c r="F85" s="347"/>
      <c r="G85" s="347"/>
      <c r="H85" s="347"/>
      <c r="I85" s="348"/>
    </row>
    <row r="86" spans="2:10" ht="14.25" customHeight="1"/>
    <row r="87" spans="2:10" ht="14.25" customHeight="1"/>
    <row r="88" spans="2:10" ht="14.25" customHeight="1">
      <c r="B88" s="402" t="s">
        <v>519</v>
      </c>
      <c r="C88" s="360"/>
      <c r="D88" s="360"/>
      <c r="E88" s="360"/>
      <c r="F88" s="360"/>
      <c r="G88" s="360"/>
      <c r="H88" s="360"/>
      <c r="I88" s="360"/>
    </row>
    <row r="89" spans="2:10" ht="14.25" customHeight="1"/>
    <row r="90" spans="2:10" ht="14.25" customHeight="1">
      <c r="B90" s="359" t="s">
        <v>520</v>
      </c>
      <c r="C90" s="360"/>
      <c r="D90" s="360"/>
      <c r="E90" s="360"/>
      <c r="F90" s="360"/>
      <c r="G90" s="360"/>
      <c r="H90" s="360"/>
      <c r="I90" s="360"/>
      <c r="J90" s="360"/>
    </row>
    <row r="91" spans="2:10" ht="14.25" customHeight="1"/>
    <row r="92" spans="2:10" ht="14.25" customHeight="1">
      <c r="B92" s="244" t="s">
        <v>201</v>
      </c>
      <c r="C92" s="244" t="s">
        <v>483</v>
      </c>
      <c r="D92" s="244" t="s">
        <v>204</v>
      </c>
      <c r="E92" s="244" t="s">
        <v>205</v>
      </c>
      <c r="F92" s="244" t="s">
        <v>206</v>
      </c>
      <c r="G92" s="244" t="s">
        <v>207</v>
      </c>
      <c r="H92" s="244" t="s">
        <v>208</v>
      </c>
      <c r="I92" s="244" t="s">
        <v>209</v>
      </c>
      <c r="J92" s="244" t="s">
        <v>210</v>
      </c>
    </row>
    <row r="93" spans="2:10" ht="14.25" customHeight="1">
      <c r="B93" s="257"/>
      <c r="C93" s="257"/>
      <c r="D93" s="258"/>
      <c r="E93" s="258"/>
      <c r="F93" s="258"/>
      <c r="G93" s="258"/>
      <c r="H93" s="258"/>
      <c r="I93" s="258"/>
      <c r="J93" s="258"/>
    </row>
    <row r="94" spans="2:10" ht="14.25" customHeight="1">
      <c r="B94" s="64" t="s">
        <v>521</v>
      </c>
      <c r="C94" s="259">
        <f>'1.Project Cost and MOF'!D12</f>
        <v>27504655.640284203</v>
      </c>
      <c r="D94" s="258"/>
      <c r="E94" s="258"/>
      <c r="F94" s="258"/>
      <c r="G94" s="258"/>
      <c r="H94" s="258"/>
      <c r="I94" s="258"/>
      <c r="J94" s="258"/>
    </row>
    <row r="95" spans="2:10" ht="14.25" customHeight="1">
      <c r="B95" s="64" t="str">
        <f>B58</f>
        <v>Profit after Tax &amp; Dividend</v>
      </c>
      <c r="C95" s="64"/>
      <c r="D95" s="144">
        <f>'6.Cons Profit &amp; Loss'!B51</f>
        <v>1405629.9635680956</v>
      </c>
      <c r="E95" s="144">
        <f>'6.Cons Profit &amp; Loss'!C51</f>
        <v>2993275.5234623845</v>
      </c>
      <c r="F95" s="144">
        <f>'6.Cons Profit &amp; Loss'!D51</f>
        <v>3970662.5998519091</v>
      </c>
      <c r="G95" s="144">
        <f>'6.Cons Profit &amp; Loss'!E51</f>
        <v>5063273.5275440877</v>
      </c>
      <c r="H95" s="144">
        <f>'6.Cons Profit &amp; Loss'!F51</f>
        <v>6277083.7780115027</v>
      </c>
      <c r="I95" s="144">
        <f>'6.Cons Profit &amp; Loss'!G51</f>
        <v>7473870.5591000468</v>
      </c>
      <c r="J95" s="144">
        <f>'6.Cons Profit &amp; Loss'!H51</f>
        <v>8647972.8256080151</v>
      </c>
    </row>
    <row r="96" spans="2:10" ht="14.25" customHeight="1">
      <c r="B96" s="64" t="str">
        <f t="shared" ref="B96:B97" si="10">B60</f>
        <v>Add: Deprication</v>
      </c>
      <c r="C96" s="64"/>
      <c r="D96" s="144">
        <f>'6.Cons Profit &amp; Loss'!B42</f>
        <v>1252517.731892</v>
      </c>
      <c r="E96" s="144">
        <f>'6.Cons Profit &amp; Loss'!C42</f>
        <v>1252517.731892</v>
      </c>
      <c r="F96" s="144">
        <f>'6.Cons Profit &amp; Loss'!D42</f>
        <v>1252517.731892</v>
      </c>
      <c r="G96" s="144">
        <f>'6.Cons Profit &amp; Loss'!E42</f>
        <v>1252517.731892</v>
      </c>
      <c r="H96" s="144">
        <f>'6.Cons Profit &amp; Loss'!F42</f>
        <v>1252517.731892</v>
      </c>
      <c r="I96" s="144">
        <f>'6.Cons Profit &amp; Loss'!G42</f>
        <v>1252517.731892</v>
      </c>
      <c r="J96" s="144">
        <f>'6.Cons Profit &amp; Loss'!H42</f>
        <v>1252517.731892</v>
      </c>
    </row>
    <row r="97" spans="2:10" ht="14.25" customHeight="1">
      <c r="B97" s="64" t="str">
        <f t="shared" si="10"/>
        <v>Add. Preliminary exp Written off</v>
      </c>
      <c r="C97" s="64"/>
      <c r="D97" s="144">
        <f>'6.Cons Profit &amp; Loss'!B43</f>
        <v>27000</v>
      </c>
      <c r="E97" s="144">
        <f>'6.Cons Profit &amp; Loss'!C43</f>
        <v>27000</v>
      </c>
      <c r="F97" s="144">
        <f>'6.Cons Profit &amp; Loss'!D43</f>
        <v>27000</v>
      </c>
      <c r="G97" s="144">
        <f>'6.Cons Profit &amp; Loss'!E43</f>
        <v>27000</v>
      </c>
      <c r="H97" s="144">
        <f>'6.Cons Profit &amp; Loss'!F43</f>
        <v>27000</v>
      </c>
      <c r="I97" s="144">
        <f>'6.Cons Profit &amp; Loss'!G43</f>
        <v>0</v>
      </c>
      <c r="J97" s="144">
        <f>'6.Cons Profit &amp; Loss'!H43</f>
        <v>0</v>
      </c>
    </row>
    <row r="98" spans="2:10" ht="14.25" customHeight="1">
      <c r="B98" s="64" t="str">
        <f>B63</f>
        <v xml:space="preserve">Net Cash Accrual (A)      </v>
      </c>
      <c r="C98" s="64"/>
      <c r="D98" s="144">
        <f t="shared" ref="D98:J98" si="11">SUM(D95:D97)</f>
        <v>2685147.6954600955</v>
      </c>
      <c r="E98" s="144">
        <f t="shared" si="11"/>
        <v>4272793.255354384</v>
      </c>
      <c r="F98" s="144">
        <f t="shared" si="11"/>
        <v>5250180.331743909</v>
      </c>
      <c r="G98" s="144">
        <f t="shared" si="11"/>
        <v>6342791.2594360877</v>
      </c>
      <c r="H98" s="144">
        <f t="shared" si="11"/>
        <v>7556601.5099035027</v>
      </c>
      <c r="I98" s="144">
        <f t="shared" si="11"/>
        <v>8726388.2909920476</v>
      </c>
      <c r="J98" s="144">
        <f t="shared" si="11"/>
        <v>9900490.5575000159</v>
      </c>
    </row>
    <row r="99" spans="2:10" ht="14.25" customHeight="1">
      <c r="B99" s="64" t="s">
        <v>522</v>
      </c>
      <c r="C99" s="260"/>
      <c r="D99" s="261">
        <f>D98-C94</f>
        <v>-24819507.944824107</v>
      </c>
      <c r="E99" s="261">
        <f t="shared" ref="E99:J99" si="12">D99+E98</f>
        <v>-20546714.689469725</v>
      </c>
      <c r="F99" s="261">
        <f t="shared" si="12"/>
        <v>-15296534.357725816</v>
      </c>
      <c r="G99" s="261">
        <f t="shared" si="12"/>
        <v>-8953743.0982897282</v>
      </c>
      <c r="H99" s="261">
        <f t="shared" si="12"/>
        <v>-1397141.5883862255</v>
      </c>
      <c r="I99" s="261">
        <f t="shared" si="12"/>
        <v>7329246.7026058221</v>
      </c>
      <c r="J99" s="261">
        <f t="shared" si="12"/>
        <v>17229737.260105837</v>
      </c>
    </row>
    <row r="100" spans="2:10" ht="14.25" customHeight="1"/>
    <row r="101" spans="2:10" ht="14.25" customHeight="1">
      <c r="B101" s="100" t="s">
        <v>523</v>
      </c>
      <c r="D101" s="262">
        <f>4+(-G99/H98)</f>
        <v>5.1848902031627793</v>
      </c>
    </row>
    <row r="102" spans="2:10" ht="14.25" customHeight="1"/>
    <row r="103" spans="2:10" ht="14.25" customHeight="1">
      <c r="B103" s="402" t="s">
        <v>524</v>
      </c>
      <c r="C103" s="360"/>
      <c r="D103" s="360"/>
      <c r="E103" s="360"/>
      <c r="F103" s="360"/>
      <c r="G103" s="360"/>
      <c r="H103" s="360"/>
      <c r="I103" s="360"/>
      <c r="J103" s="360"/>
    </row>
    <row r="104" spans="2:10" ht="14.25" customHeight="1"/>
    <row r="105" spans="2:10" ht="14.25" customHeight="1">
      <c r="B105" s="359" t="s">
        <v>525</v>
      </c>
      <c r="C105" s="360"/>
      <c r="D105" s="360"/>
      <c r="E105" s="360"/>
      <c r="F105" s="360"/>
      <c r="G105" s="360"/>
      <c r="H105" s="360"/>
      <c r="I105" s="360"/>
    </row>
    <row r="106" spans="2:10" ht="14.25" customHeight="1"/>
    <row r="107" spans="2:10" ht="14.25" customHeight="1">
      <c r="B107" s="253" t="s">
        <v>201</v>
      </c>
      <c r="C107" s="253" t="s">
        <v>204</v>
      </c>
      <c r="D107" s="253" t="s">
        <v>205</v>
      </c>
      <c r="E107" s="253" t="s">
        <v>206</v>
      </c>
      <c r="F107" s="253" t="s">
        <v>207</v>
      </c>
      <c r="G107" s="253" t="s">
        <v>208</v>
      </c>
      <c r="H107" s="253" t="s">
        <v>209</v>
      </c>
      <c r="I107" s="253" t="s">
        <v>210</v>
      </c>
    </row>
    <row r="108" spans="2:10" ht="14.25" customHeight="1">
      <c r="B108" s="254"/>
      <c r="C108" s="255"/>
      <c r="D108" s="255"/>
      <c r="E108" s="255"/>
      <c r="F108" s="255"/>
      <c r="G108" s="255"/>
      <c r="H108" s="255"/>
      <c r="I108" s="255"/>
    </row>
    <row r="109" spans="2:10" ht="14.25" customHeight="1">
      <c r="B109" s="56" t="s">
        <v>526</v>
      </c>
      <c r="C109" s="97">
        <f>'6.Cons Profit &amp; Loss'!B40</f>
        <v>3890469.5511804447</v>
      </c>
      <c r="D109" s="97">
        <f>'6.Cons Profit &amp; Loss'!C40</f>
        <v>5970143.0588472858</v>
      </c>
      <c r="E109" s="97">
        <f>'6.Cons Profit &amp; Loss'!D40</f>
        <v>7306207.2785984874</v>
      </c>
      <c r="F109" s="97">
        <f>'6.Cons Profit &amp; Loss'!E40</f>
        <v>8760952.5626776665</v>
      </c>
      <c r="G109" s="97">
        <f>'6.Cons Profit &amp; Loss'!F40</f>
        <v>10342906.856968269</v>
      </c>
      <c r="H109" s="97">
        <f>'6.Cons Profit &amp; Loss'!G40</f>
        <v>11969261.926781237</v>
      </c>
      <c r="I109" s="97">
        <f>'6.Cons Profit &amp; Loss'!H40</f>
        <v>13732395.236433074</v>
      </c>
    </row>
    <row r="110" spans="2:10" ht="14.25" customHeight="1">
      <c r="B110" s="98" t="s">
        <v>87</v>
      </c>
      <c r="C110" s="99">
        <f t="shared" ref="C110:I110" si="13">SUM(C109)</f>
        <v>3890469.5511804447</v>
      </c>
      <c r="D110" s="99">
        <f t="shared" si="13"/>
        <v>5970143.0588472858</v>
      </c>
      <c r="E110" s="99">
        <f t="shared" si="13"/>
        <v>7306207.2785984874</v>
      </c>
      <c r="F110" s="99">
        <f t="shared" si="13"/>
        <v>8760952.5626776665</v>
      </c>
      <c r="G110" s="99">
        <f t="shared" si="13"/>
        <v>10342906.856968269</v>
      </c>
      <c r="H110" s="99">
        <f t="shared" si="13"/>
        <v>11969261.926781237</v>
      </c>
      <c r="I110" s="99">
        <f t="shared" si="13"/>
        <v>13732395.236433074</v>
      </c>
    </row>
    <row r="111" spans="2:10" ht="14.25" customHeight="1">
      <c r="B111" s="56"/>
      <c r="C111" s="56"/>
      <c r="D111" s="56"/>
      <c r="E111" s="56"/>
      <c r="F111" s="56"/>
      <c r="G111" s="56"/>
      <c r="H111" s="56"/>
      <c r="I111" s="56"/>
    </row>
    <row r="112" spans="2:10" ht="14.25" customHeight="1">
      <c r="B112" s="56" t="s">
        <v>527</v>
      </c>
      <c r="C112" s="99">
        <f>'8.Cash Flow '!C26+'8.Cash Flow '!C27</f>
        <v>1642129.3539606472</v>
      </c>
      <c r="D112" s="99">
        <f>'8.Cash Flow '!D26+'8.Cash Flow '!D27</f>
        <v>2319905.1352812946</v>
      </c>
      <c r="E112" s="99">
        <f>'8.Cash Flow '!E26+'8.Cash Flow '!E27</f>
        <v>2319905.1352812941</v>
      </c>
      <c r="F112" s="99">
        <f>'8.Cash Flow '!F26+'8.Cash Flow '!F27</f>
        <v>2319905.1352812941</v>
      </c>
      <c r="G112" s="99">
        <f>'8.Cash Flow '!G26+'8.Cash Flow '!G27</f>
        <v>2319905.1352812941</v>
      </c>
      <c r="H112" s="99">
        <f>'8.Cash Flow '!H26+'8.Cash Flow '!H27</f>
        <v>0</v>
      </c>
      <c r="I112" s="99">
        <f>'8.Cash Flow '!I26+'8.Cash Flow '!I27</f>
        <v>0</v>
      </c>
    </row>
    <row r="113" spans="2:18" ht="14.25" customHeight="1">
      <c r="B113" s="56"/>
      <c r="C113" s="56"/>
      <c r="D113" s="56"/>
      <c r="E113" s="56"/>
      <c r="F113" s="56"/>
      <c r="G113" s="56"/>
      <c r="H113" s="56"/>
      <c r="I113" s="56"/>
    </row>
    <row r="114" spans="2:18" ht="14.25" customHeight="1">
      <c r="B114" s="98" t="s">
        <v>528</v>
      </c>
      <c r="C114" s="263">
        <f t="shared" ref="C114:G114" si="14">C110/C112</f>
        <v>2.3691614438272062</v>
      </c>
      <c r="D114" s="263">
        <f t="shared" si="14"/>
        <v>2.5734427533492186</v>
      </c>
      <c r="E114" s="263">
        <f t="shared" si="14"/>
        <v>3.1493560523165929</v>
      </c>
      <c r="F114" s="263">
        <f t="shared" si="14"/>
        <v>3.7764270742973203</v>
      </c>
      <c r="G114" s="263">
        <f t="shared" si="14"/>
        <v>4.4583318083453296</v>
      </c>
      <c r="H114" s="263">
        <v>0</v>
      </c>
      <c r="I114" s="263">
        <v>0</v>
      </c>
    </row>
    <row r="115" spans="2:18" ht="14.25" customHeight="1">
      <c r="B115" s="92"/>
      <c r="C115" s="92"/>
      <c r="D115" s="92"/>
      <c r="E115" s="92"/>
      <c r="F115" s="92"/>
      <c r="G115" s="92"/>
      <c r="H115" s="92"/>
      <c r="I115" s="92"/>
    </row>
    <row r="116" spans="2:18" ht="14.25" customHeight="1">
      <c r="B116" s="92" t="s">
        <v>529</v>
      </c>
      <c r="C116" s="166">
        <f>AVERAGE(C114:I114)</f>
        <v>2.3323884474479519</v>
      </c>
      <c r="D116" s="92"/>
      <c r="E116" s="92"/>
      <c r="F116" s="92"/>
      <c r="G116" s="92"/>
      <c r="H116" s="92"/>
      <c r="I116" s="92"/>
    </row>
    <row r="117" spans="2:18" ht="14.25" customHeight="1"/>
    <row r="118" spans="2:18" ht="29.25" customHeight="1">
      <c r="B118" s="393" t="s">
        <v>530</v>
      </c>
      <c r="C118" s="360"/>
      <c r="D118" s="360"/>
      <c r="E118" s="360"/>
      <c r="F118" s="360"/>
      <c r="G118" s="360"/>
      <c r="H118" s="360"/>
      <c r="I118" s="360"/>
      <c r="J118" s="360"/>
    </row>
    <row r="119" spans="2:18" ht="14.25" customHeight="1"/>
    <row r="120" spans="2:18" ht="14.25" customHeight="1">
      <c r="B120" s="405" t="s">
        <v>531</v>
      </c>
      <c r="C120" s="356"/>
      <c r="D120" s="356"/>
      <c r="E120" s="356"/>
      <c r="F120" s="356"/>
      <c r="G120" s="356"/>
      <c r="H120" s="356"/>
      <c r="I120" s="356"/>
      <c r="K120" s="409"/>
      <c r="L120" s="360"/>
      <c r="M120" s="360"/>
      <c r="N120" s="360"/>
      <c r="O120" s="360"/>
      <c r="P120" s="360"/>
      <c r="Q120" s="360"/>
      <c r="R120" s="360"/>
    </row>
    <row r="121" spans="2:18" ht="14.25" customHeight="1">
      <c r="B121" s="168" t="s">
        <v>532</v>
      </c>
      <c r="C121" s="169" t="s">
        <v>204</v>
      </c>
      <c r="D121" s="169" t="s">
        <v>205</v>
      </c>
      <c r="E121" s="169" t="s">
        <v>206</v>
      </c>
      <c r="F121" s="169" t="s">
        <v>207</v>
      </c>
      <c r="G121" s="169" t="s">
        <v>208</v>
      </c>
      <c r="H121" s="169" t="s">
        <v>209</v>
      </c>
      <c r="I121" s="169" t="s">
        <v>210</v>
      </c>
    </row>
    <row r="122" spans="2:18" ht="14.25" customHeight="1">
      <c r="B122" s="133" t="str">
        <f>'6.Cons Profit &amp; Loss'!A8</f>
        <v>Activity 1 - Flour Mill</v>
      </c>
      <c r="C122" s="264">
        <f>'6.Cons Profit &amp; Loss'!B8*(1+$M$123)</f>
        <v>25101360.998286296</v>
      </c>
      <c r="D122" s="264">
        <f>'6.Cons Profit &amp; Loss'!C8*(1+$M$123)</f>
        <v>32136347.699121799</v>
      </c>
      <c r="E122" s="264">
        <f>'6.Cons Profit &amp; Loss'!D8*(1+$M$123)</f>
        <v>38598296.750851698</v>
      </c>
      <c r="F122" s="264">
        <f>'6.Cons Profit &amp; Loss'!E8*(1+$M$123)</f>
        <v>45626099.838506766</v>
      </c>
      <c r="G122" s="264">
        <f>'6.Cons Profit &amp; Loss'!F8*(1+$M$123)</f>
        <v>53260187.493050218</v>
      </c>
      <c r="H122" s="264">
        <f>'6.Cons Profit &amp; Loss'!G8*(1+$M$123)</f>
        <v>61543618.663451754</v>
      </c>
      <c r="I122" s="264">
        <f>'6.Cons Profit &amp; Loss'!H8*(1+$M$123)</f>
        <v>70522242.482160807</v>
      </c>
    </row>
    <row r="123" spans="2:18" ht="14.25" customHeight="1">
      <c r="B123" s="133" t="str">
        <f>'6.Cons Profit &amp; Loss'!A9</f>
        <v>Activity 2 - Cleaning &amp; Grading Unit</v>
      </c>
      <c r="C123" s="264">
        <f>'6.Cons Profit &amp; Loss'!B9*(1+$M$123)</f>
        <v>26590133.453178745</v>
      </c>
      <c r="D123" s="264">
        <f>'6.Cons Profit &amp; Loss'!C9*(1+$M$123)</f>
        <v>32016417.362835016</v>
      </c>
      <c r="E123" s="264">
        <f>'6.Cons Profit &amp; Loss'!D9*(1+$M$123)</f>
        <v>36705211.980423152</v>
      </c>
      <c r="F123" s="264">
        <f>'6.Cons Profit &amp; Loss'!E9*(1+$M$123)</f>
        <v>41782845.016363017</v>
      </c>
      <c r="G123" s="264">
        <f>'6.Cons Profit &amp; Loss'!F9*(1+$M$123)</f>
        <v>47276478.325945802</v>
      </c>
      <c r="H123" s="264">
        <f>'6.Cons Profit &amp; Loss'!G9*(1+$M$123)</f>
        <v>53215017.853945963</v>
      </c>
      <c r="I123" s="264">
        <f>'6.Cons Profit &amp; Loss'!H9*(1+$M$123)</f>
        <v>59629220.138931282</v>
      </c>
      <c r="L123" s="100" t="s">
        <v>533</v>
      </c>
      <c r="M123" s="265">
        <v>0.05</v>
      </c>
    </row>
    <row r="124" spans="2:18" ht="14.25" customHeight="1">
      <c r="B124" s="133" t="str">
        <f>'6.Cons Profit &amp; Loss'!A10</f>
        <v>Faclitiy 3 - Warehouse</v>
      </c>
      <c r="C124" s="264">
        <f>'6.Cons Profit &amp; Loss'!B10*(1+$M$123)</f>
        <v>1209600</v>
      </c>
      <c r="D124" s="264">
        <f>'6.Cons Profit &amp; Loss'!C10*(1+$M$123)</f>
        <v>1349460.0000000002</v>
      </c>
      <c r="E124" s="264">
        <f>'6.Cons Profit &amp; Loss'!D10*(1+$M$123)</f>
        <v>1500282.0000000002</v>
      </c>
      <c r="F124" s="264">
        <f>'6.Cons Profit &amp; Loss'!E10*(1+$M$123)</f>
        <v>1662812.5500000007</v>
      </c>
      <c r="G124" s="264">
        <f>'6.Cons Profit &amp; Loss'!F10*(1+$M$123)</f>
        <v>1837845.4500000011</v>
      </c>
      <c r="H124" s="264">
        <f>'6.Cons Profit &amp; Loss'!G10*(1+$M$123)</f>
        <v>1929737.7225000013</v>
      </c>
      <c r="I124" s="264">
        <f>'6.Cons Profit &amp; Loss'!H10*(1+$M$123)</f>
        <v>2026224.6086250015</v>
      </c>
      <c r="L124" s="100" t="s">
        <v>534</v>
      </c>
      <c r="M124" s="265">
        <v>0.05</v>
      </c>
    </row>
    <row r="125" spans="2:18" ht="14.25" customHeight="1">
      <c r="B125" s="133" t="str">
        <f>'6.Cons Profit &amp; Loss'!A11</f>
        <v xml:space="preserve">Faclitiy 4 - Custom Hiring </v>
      </c>
      <c r="C125" s="264">
        <f>'6.Cons Profit &amp; Loss'!B11*(1+$M$123)</f>
        <v>0</v>
      </c>
      <c r="D125" s="264">
        <f>'6.Cons Profit &amp; Loss'!C11*(1+$M$123)</f>
        <v>0</v>
      </c>
      <c r="E125" s="264">
        <f>'6.Cons Profit &amp; Loss'!D11*(1+$M$123)</f>
        <v>0</v>
      </c>
      <c r="F125" s="264">
        <f>'6.Cons Profit &amp; Loss'!E11*(1+$M$123)</f>
        <v>0</v>
      </c>
      <c r="G125" s="264">
        <f>'6.Cons Profit &amp; Loss'!F11*(1+$M$123)</f>
        <v>0</v>
      </c>
      <c r="H125" s="264">
        <f>'6.Cons Profit &amp; Loss'!G11*(1+$M$123)</f>
        <v>0</v>
      </c>
      <c r="I125" s="264">
        <f>'6.Cons Profit &amp; Loss'!H11*(1+$M$123)</f>
        <v>0</v>
      </c>
    </row>
    <row r="126" spans="2:18" ht="14.25" customHeight="1">
      <c r="B126" s="133" t="str">
        <f>'6.Cons Profit &amp; Loss'!A12</f>
        <v>Faclitiy 5 - Agri Input Centre</v>
      </c>
      <c r="C126" s="264">
        <f>'6.Cons Profit &amp; Loss'!B12*(1+$M$123)</f>
        <v>0</v>
      </c>
      <c r="D126" s="264">
        <f>'6.Cons Profit &amp; Loss'!C12*(1+$M$123)</f>
        <v>0</v>
      </c>
      <c r="E126" s="264">
        <f>'6.Cons Profit &amp; Loss'!D12*(1+$M$123)</f>
        <v>0</v>
      </c>
      <c r="F126" s="264">
        <f>'6.Cons Profit &amp; Loss'!E12*(1+$M$123)</f>
        <v>0</v>
      </c>
      <c r="G126" s="264">
        <f>'6.Cons Profit &amp; Loss'!F12*(1+$M$123)</f>
        <v>0</v>
      </c>
      <c r="H126" s="264">
        <f>'6.Cons Profit &amp; Loss'!G12*(1+$M$123)</f>
        <v>0</v>
      </c>
      <c r="I126" s="264">
        <f>'6.Cons Profit &amp; Loss'!H12*(1+$M$123)</f>
        <v>0</v>
      </c>
      <c r="K126" s="189"/>
    </row>
    <row r="127" spans="2:18" ht="14.25" customHeight="1">
      <c r="B127" s="133" t="str">
        <f>'6.Cons Profit &amp; Loss'!A13</f>
        <v>Facility 4 - Roasted Channa</v>
      </c>
      <c r="C127" s="264">
        <f>'6.Cons Profit &amp; Loss'!B13*(1+$M$123)</f>
        <v>0</v>
      </c>
      <c r="D127" s="264">
        <f>'6.Cons Profit &amp; Loss'!C13*(1+$M$123)</f>
        <v>0</v>
      </c>
      <c r="E127" s="264">
        <f>'6.Cons Profit &amp; Loss'!D13*(1+$M$123)</f>
        <v>0</v>
      </c>
      <c r="F127" s="264">
        <f>'6.Cons Profit &amp; Loss'!E13*(1+$M$123)</f>
        <v>0</v>
      </c>
      <c r="G127" s="264">
        <f>'6.Cons Profit &amp; Loss'!F13*(1+$M$123)</f>
        <v>0</v>
      </c>
      <c r="H127" s="264">
        <f>'6.Cons Profit &amp; Loss'!G13*(1+$M$123)</f>
        <v>0</v>
      </c>
      <c r="I127" s="264">
        <f>'6.Cons Profit &amp; Loss'!H13*(1+$M$123)</f>
        <v>0</v>
      </c>
    </row>
    <row r="128" spans="2:18" ht="14.25" customHeight="1">
      <c r="B128" s="133">
        <f>'6.Cons Profit &amp; Loss'!A14</f>
        <v>0</v>
      </c>
      <c r="C128" s="264">
        <f>'6.Cons Profit &amp; Loss'!B14*(1+$M$123)</f>
        <v>0</v>
      </c>
      <c r="D128" s="264">
        <f>'6.Cons Profit &amp; Loss'!C14*(1+$M$123)</f>
        <v>0</v>
      </c>
      <c r="E128" s="264">
        <f>'6.Cons Profit &amp; Loss'!D14*(1+$M$123)</f>
        <v>0</v>
      </c>
      <c r="F128" s="264">
        <f>'6.Cons Profit &amp; Loss'!E14*(1+$M$123)</f>
        <v>0</v>
      </c>
      <c r="G128" s="264">
        <f>'6.Cons Profit &amp; Loss'!F14*(1+$M$123)</f>
        <v>0</v>
      </c>
      <c r="H128" s="264">
        <f>'6.Cons Profit &amp; Loss'!G14*(1+$M$123)</f>
        <v>0</v>
      </c>
      <c r="I128" s="264">
        <f>'6.Cons Profit &amp; Loss'!H14*(1+$M$123)</f>
        <v>0</v>
      </c>
    </row>
    <row r="129" spans="2:9" ht="14.25" customHeight="1">
      <c r="B129" s="133" t="s">
        <v>535</v>
      </c>
      <c r="C129" s="264">
        <f t="shared" ref="C129:I129" si="15">SUM(C122:C128)</f>
        <v>52901094.45146504</v>
      </c>
      <c r="D129" s="264">
        <f t="shared" si="15"/>
        <v>65502225.061956815</v>
      </c>
      <c r="E129" s="264">
        <f t="shared" si="15"/>
        <v>76803790.731274843</v>
      </c>
      <c r="F129" s="264">
        <f t="shared" si="15"/>
        <v>89071757.40486978</v>
      </c>
      <c r="G129" s="264">
        <f t="shared" si="15"/>
        <v>102374511.26899602</v>
      </c>
      <c r="H129" s="264">
        <f t="shared" si="15"/>
        <v>116688374.23989771</v>
      </c>
      <c r="I129" s="264">
        <f t="shared" si="15"/>
        <v>132177687.22971708</v>
      </c>
    </row>
    <row r="130" spans="2:9" ht="14.25" customHeight="1">
      <c r="B130" s="133" t="s">
        <v>536</v>
      </c>
      <c r="C130" s="264"/>
      <c r="D130" s="264"/>
      <c r="E130" s="264"/>
      <c r="F130" s="264"/>
      <c r="G130" s="264"/>
      <c r="H130" s="264"/>
      <c r="I130" s="264"/>
    </row>
    <row r="131" spans="2:9" ht="14.25" customHeight="1">
      <c r="B131" s="133" t="s">
        <v>537</v>
      </c>
      <c r="C131" s="264">
        <f>'6.Cons Profit &amp; Loss'!B36</f>
        <v>2212000</v>
      </c>
      <c r="D131" s="264">
        <f>'6.Cons Profit &amp; Loss'!C36</f>
        <v>2322600</v>
      </c>
      <c r="E131" s="264">
        <f>'6.Cons Profit &amp; Loss'!D36</f>
        <v>2438730</v>
      </c>
      <c r="F131" s="264">
        <f>'6.Cons Profit &amp; Loss'!E36</f>
        <v>2560666.5000000005</v>
      </c>
      <c r="G131" s="264">
        <f>'6.Cons Profit &amp; Loss'!F36</f>
        <v>2688699.8250000002</v>
      </c>
      <c r="H131" s="264">
        <f>'6.Cons Profit &amp; Loss'!G36</f>
        <v>2823134.8162500006</v>
      </c>
      <c r="I131" s="264">
        <f>'6.Cons Profit &amp; Loss'!H36</f>
        <v>2964291.5570625011</v>
      </c>
    </row>
    <row r="132" spans="2:9" ht="14.25" customHeight="1">
      <c r="B132" s="133" t="s">
        <v>404</v>
      </c>
      <c r="C132" s="264">
        <f>'6.Cons Profit &amp; Loss'!B25*(1+M123)</f>
        <v>46493501.422725573</v>
      </c>
      <c r="D132" s="264">
        <f>'6.Cons Profit &amp; Loss'!C25*(1+N123)</f>
        <v>54090328.428730629</v>
      </c>
      <c r="E132" s="264">
        <f>'6.Cons Profit &amp; Loss'!D25*(1+O123)</f>
        <v>63401530.084520414</v>
      </c>
      <c r="F132" s="264">
        <f>'6.Cons Profit &amp; Loss'!E25*(1+P123)</f>
        <v>73508626.084817365</v>
      </c>
      <c r="G132" s="264">
        <f>'6.Cons Profit &amp; Loss'!F25*(1+Q123)</f>
        <v>84467927.859932691</v>
      </c>
      <c r="H132" s="264">
        <f>'6.Cons Profit &amp; Loss'!G25*(1+R123)</f>
        <v>96339388.247347549</v>
      </c>
      <c r="I132" s="264">
        <f>'6.Cons Profit &amp; Loss'!H25*(1+S123)</f>
        <v>109186824.85385402</v>
      </c>
    </row>
    <row r="133" spans="2:9" ht="14.25" customHeight="1">
      <c r="B133" s="133" t="s">
        <v>538</v>
      </c>
      <c r="C133" s="264">
        <f t="shared" ref="C133:I133" si="16">SUM(C131:C132)</f>
        <v>48705501.422725573</v>
      </c>
      <c r="D133" s="264">
        <f t="shared" si="16"/>
        <v>56412928.428730629</v>
      </c>
      <c r="E133" s="264">
        <f t="shared" si="16"/>
        <v>65840260.084520414</v>
      </c>
      <c r="F133" s="264">
        <f t="shared" si="16"/>
        <v>76069292.584817365</v>
      </c>
      <c r="G133" s="264">
        <f t="shared" si="16"/>
        <v>87156627.684932694</v>
      </c>
      <c r="H133" s="264">
        <f t="shared" si="16"/>
        <v>99162523.063597545</v>
      </c>
      <c r="I133" s="264">
        <f t="shared" si="16"/>
        <v>112151116.41091652</v>
      </c>
    </row>
    <row r="134" spans="2:9" ht="14.25" customHeight="1">
      <c r="B134" s="136" t="s">
        <v>539</v>
      </c>
      <c r="C134" s="266">
        <f t="shared" ref="C134:I134" si="17">+C129-C133</f>
        <v>4195593.0287394673</v>
      </c>
      <c r="D134" s="266">
        <f t="shared" si="17"/>
        <v>9089296.633226186</v>
      </c>
      <c r="E134" s="266">
        <f t="shared" si="17"/>
        <v>10963530.646754429</v>
      </c>
      <c r="F134" s="266">
        <f t="shared" si="17"/>
        <v>13002464.820052415</v>
      </c>
      <c r="G134" s="266">
        <f t="shared" si="17"/>
        <v>15217883.584063321</v>
      </c>
      <c r="H134" s="266">
        <f t="shared" si="17"/>
        <v>17525851.176300168</v>
      </c>
      <c r="I134" s="266">
        <f t="shared" si="17"/>
        <v>20026570.818800554</v>
      </c>
    </row>
    <row r="135" spans="2:9" ht="14.25" customHeight="1">
      <c r="B135" s="242"/>
      <c r="C135" s="267"/>
      <c r="D135" s="267"/>
      <c r="E135" s="267"/>
      <c r="F135" s="267"/>
      <c r="G135" s="267"/>
      <c r="H135" s="267"/>
      <c r="I135" s="267"/>
    </row>
    <row r="136" spans="2:9" ht="14.25" customHeight="1">
      <c r="B136" s="168" t="s">
        <v>540</v>
      </c>
      <c r="C136" s="169" t="s">
        <v>204</v>
      </c>
      <c r="D136" s="169" t="s">
        <v>205</v>
      </c>
      <c r="E136" s="169" t="s">
        <v>206</v>
      </c>
      <c r="F136" s="169" t="s">
        <v>207</v>
      </c>
      <c r="G136" s="169" t="s">
        <v>208</v>
      </c>
      <c r="H136" s="169" t="s">
        <v>209</v>
      </c>
      <c r="I136" s="169" t="s">
        <v>210</v>
      </c>
    </row>
    <row r="137" spans="2:9" ht="14.25" customHeight="1">
      <c r="B137" s="133" t="str">
        <f t="shared" ref="B137:B143" si="18">B122</f>
        <v>Activity 1 - Flour Mill</v>
      </c>
      <c r="C137" s="268">
        <f>'6.Cons Profit &amp; Loss'!B8</f>
        <v>23906058.093605995</v>
      </c>
      <c r="D137" s="268">
        <f>'6.Cons Profit &amp; Loss'!C8</f>
        <v>30606045.427735046</v>
      </c>
      <c r="E137" s="268">
        <f>'6.Cons Profit &amp; Loss'!D8</f>
        <v>36760282.619858757</v>
      </c>
      <c r="F137" s="268">
        <f>'6.Cons Profit &amp; Loss'!E8</f>
        <v>43453428.417625487</v>
      </c>
      <c r="G137" s="268">
        <f>'6.Cons Profit &amp; Loss'!F8</f>
        <v>50723988.088619255</v>
      </c>
      <c r="H137" s="268">
        <f>'6.Cons Profit &amp; Loss'!G8</f>
        <v>58612970.155668333</v>
      </c>
      <c r="I137" s="268">
        <f>'6.Cons Profit &amp; Loss'!H8</f>
        <v>67164040.45920077</v>
      </c>
    </row>
    <row r="138" spans="2:9" ht="14.25" customHeight="1">
      <c r="B138" s="133" t="str">
        <f t="shared" si="18"/>
        <v>Activity 2 - Cleaning &amp; Grading Unit</v>
      </c>
      <c r="C138" s="268">
        <f>'6.Cons Profit &amp; Loss'!B9</f>
        <v>25323936.622074995</v>
      </c>
      <c r="D138" s="268">
        <f>'6.Cons Profit &amp; Loss'!C9</f>
        <v>30491826.05984287</v>
      </c>
      <c r="E138" s="268">
        <f>'6.Cons Profit &amp; Loss'!D9</f>
        <v>34957344.743260145</v>
      </c>
      <c r="F138" s="268">
        <f>'6.Cons Profit &amp; Loss'!E9</f>
        <v>39793185.729869537</v>
      </c>
      <c r="G138" s="268">
        <f>'6.Cons Profit &amp; Loss'!F9</f>
        <v>45025217.453281716</v>
      </c>
      <c r="H138" s="268">
        <f>'6.Cons Profit &amp; Loss'!G9</f>
        <v>50680969.384710439</v>
      </c>
      <c r="I138" s="268">
        <f>'6.Cons Profit &amp; Loss'!H9</f>
        <v>56789733.465648837</v>
      </c>
    </row>
    <row r="139" spans="2:9" ht="14.25" customHeight="1">
      <c r="B139" s="133" t="str">
        <f t="shared" si="18"/>
        <v>Faclitiy 3 - Warehouse</v>
      </c>
      <c r="C139" s="268">
        <f>'6.Cons Profit &amp; Loss'!B10</f>
        <v>1152000</v>
      </c>
      <c r="D139" s="268">
        <f>'6.Cons Profit &amp; Loss'!C10</f>
        <v>1285200.0000000002</v>
      </c>
      <c r="E139" s="268">
        <f>'6.Cons Profit &amp; Loss'!D10</f>
        <v>1428840.0000000002</v>
      </c>
      <c r="F139" s="268">
        <f>'6.Cons Profit &amp; Loss'!E10</f>
        <v>1583631.0000000007</v>
      </c>
      <c r="G139" s="268">
        <f>'6.Cons Profit &amp; Loss'!F10</f>
        <v>1750329.0000000009</v>
      </c>
      <c r="H139" s="268">
        <f>'6.Cons Profit &amp; Loss'!G10</f>
        <v>1837845.4500000011</v>
      </c>
      <c r="I139" s="268">
        <f>'6.Cons Profit &amp; Loss'!H10</f>
        <v>1929737.7225000013</v>
      </c>
    </row>
    <row r="140" spans="2:9" ht="14.25" customHeight="1">
      <c r="B140" s="133" t="str">
        <f t="shared" si="18"/>
        <v xml:space="preserve">Faclitiy 4 - Custom Hiring </v>
      </c>
      <c r="C140" s="268">
        <f>'6.Cons Profit &amp; Loss'!B11</f>
        <v>0</v>
      </c>
      <c r="D140" s="268">
        <f>'6.Cons Profit &amp; Loss'!C11</f>
        <v>0</v>
      </c>
      <c r="E140" s="268">
        <f>'6.Cons Profit &amp; Loss'!D11</f>
        <v>0</v>
      </c>
      <c r="F140" s="268">
        <f>'6.Cons Profit &amp; Loss'!E11</f>
        <v>0</v>
      </c>
      <c r="G140" s="268">
        <f>'6.Cons Profit &amp; Loss'!F11</f>
        <v>0</v>
      </c>
      <c r="H140" s="268">
        <f>'6.Cons Profit &amp; Loss'!G11</f>
        <v>0</v>
      </c>
      <c r="I140" s="268">
        <f>'6.Cons Profit &amp; Loss'!H11</f>
        <v>0</v>
      </c>
    </row>
    <row r="141" spans="2:9" ht="14.25" customHeight="1">
      <c r="B141" s="133" t="str">
        <f t="shared" si="18"/>
        <v>Faclitiy 5 - Agri Input Centre</v>
      </c>
      <c r="C141" s="268">
        <f>'6.Cons Profit &amp; Loss'!B12</f>
        <v>0</v>
      </c>
      <c r="D141" s="268">
        <f>'6.Cons Profit &amp; Loss'!C12</f>
        <v>0</v>
      </c>
      <c r="E141" s="268">
        <f>'6.Cons Profit &amp; Loss'!D12</f>
        <v>0</v>
      </c>
      <c r="F141" s="268">
        <f>'6.Cons Profit &amp; Loss'!E12</f>
        <v>0</v>
      </c>
      <c r="G141" s="268">
        <f>'6.Cons Profit &amp; Loss'!F12</f>
        <v>0</v>
      </c>
      <c r="H141" s="268">
        <f>'6.Cons Profit &amp; Loss'!G12</f>
        <v>0</v>
      </c>
      <c r="I141" s="268">
        <f>'6.Cons Profit &amp; Loss'!H12</f>
        <v>0</v>
      </c>
    </row>
    <row r="142" spans="2:9" ht="14.25" customHeight="1">
      <c r="B142" s="133" t="str">
        <f t="shared" si="18"/>
        <v>Facility 4 - Roasted Channa</v>
      </c>
      <c r="C142" s="268">
        <f>'6.Cons Profit &amp; Loss'!B13</f>
        <v>0</v>
      </c>
      <c r="D142" s="268">
        <f>'6.Cons Profit &amp; Loss'!C13</f>
        <v>0</v>
      </c>
      <c r="E142" s="268">
        <f>'6.Cons Profit &amp; Loss'!D13</f>
        <v>0</v>
      </c>
      <c r="F142" s="268">
        <f>'6.Cons Profit &amp; Loss'!E13</f>
        <v>0</v>
      </c>
      <c r="G142" s="268">
        <f>'6.Cons Profit &amp; Loss'!F13</f>
        <v>0</v>
      </c>
      <c r="H142" s="268">
        <f>'6.Cons Profit &amp; Loss'!G13</f>
        <v>0</v>
      </c>
      <c r="I142" s="268">
        <f>'6.Cons Profit &amp; Loss'!H13</f>
        <v>0</v>
      </c>
    </row>
    <row r="143" spans="2:9" ht="14.25" customHeight="1">
      <c r="B143" s="133">
        <f t="shared" si="18"/>
        <v>0</v>
      </c>
      <c r="C143" s="268">
        <f>'6.Cons Profit &amp; Loss'!B14</f>
        <v>0</v>
      </c>
      <c r="D143" s="268">
        <f>'6.Cons Profit &amp; Loss'!C14</f>
        <v>0</v>
      </c>
      <c r="E143" s="268">
        <f>'6.Cons Profit &amp; Loss'!D14</f>
        <v>0</v>
      </c>
      <c r="F143" s="268">
        <f>'6.Cons Profit &amp; Loss'!E14</f>
        <v>0</v>
      </c>
      <c r="G143" s="268">
        <f>'6.Cons Profit &amp; Loss'!F14</f>
        <v>0</v>
      </c>
      <c r="H143" s="268">
        <f>'6.Cons Profit &amp; Loss'!G14</f>
        <v>0</v>
      </c>
      <c r="I143" s="268">
        <f>'6.Cons Profit &amp; Loss'!H14</f>
        <v>0</v>
      </c>
    </row>
    <row r="144" spans="2:9" ht="14.25" customHeight="1">
      <c r="B144" s="133" t="s">
        <v>535</v>
      </c>
      <c r="C144" s="268">
        <f t="shared" ref="C144:I144" si="19">SUM(C137:C143)</f>
        <v>50381994.715680987</v>
      </c>
      <c r="D144" s="268">
        <f t="shared" si="19"/>
        <v>62383071.487577915</v>
      </c>
      <c r="E144" s="268">
        <f t="shared" si="19"/>
        <v>73146467.363118902</v>
      </c>
      <c r="F144" s="268">
        <f t="shared" si="19"/>
        <v>84830245.147495031</v>
      </c>
      <c r="G144" s="268">
        <f t="shared" si="19"/>
        <v>97499534.541900963</v>
      </c>
      <c r="H144" s="268">
        <f t="shared" si="19"/>
        <v>111131784.99037878</v>
      </c>
      <c r="I144" s="268">
        <f t="shared" si="19"/>
        <v>125883511.6473496</v>
      </c>
    </row>
    <row r="145" spans="2:15" ht="14.25" customHeight="1">
      <c r="B145" s="133" t="s">
        <v>536</v>
      </c>
      <c r="C145" s="269"/>
      <c r="D145" s="268"/>
      <c r="E145" s="268"/>
      <c r="F145" s="268"/>
      <c r="G145" s="268"/>
      <c r="H145" s="268"/>
      <c r="I145" s="268"/>
    </row>
    <row r="146" spans="2:15" ht="14.25" customHeight="1">
      <c r="B146" s="133" t="s">
        <v>537</v>
      </c>
      <c r="C146" s="264">
        <f>'6.Cons Profit &amp; Loss'!B36</f>
        <v>2212000</v>
      </c>
      <c r="D146" s="264">
        <f>'6.Cons Profit &amp; Loss'!C36</f>
        <v>2322600</v>
      </c>
      <c r="E146" s="264">
        <f>'6.Cons Profit &amp; Loss'!D36</f>
        <v>2438730</v>
      </c>
      <c r="F146" s="264">
        <f>'6.Cons Profit &amp; Loss'!E36</f>
        <v>2560666.5000000005</v>
      </c>
      <c r="G146" s="264">
        <f>'6.Cons Profit &amp; Loss'!F36</f>
        <v>2688699.8250000002</v>
      </c>
      <c r="H146" s="264">
        <f>'6.Cons Profit &amp; Loss'!G36</f>
        <v>2823134.8162500006</v>
      </c>
      <c r="I146" s="264">
        <f>'6.Cons Profit &amp; Loss'!H36</f>
        <v>2964291.5570625011</v>
      </c>
    </row>
    <row r="147" spans="2:15" ht="14.25" customHeight="1">
      <c r="B147" s="133" t="s">
        <v>404</v>
      </c>
      <c r="C147" s="264">
        <f>'6.Cons Profit &amp; Loss'!B25*(1+$M$124)</f>
        <v>46493501.422725573</v>
      </c>
      <c r="D147" s="264">
        <f>'6.Cons Profit &amp; Loss'!C25*(1+$M$124)</f>
        <v>56794844.850167163</v>
      </c>
      <c r="E147" s="264">
        <f>'6.Cons Profit &amp; Loss'!D25*(1+$M$124)</f>
        <v>66571606.588746436</v>
      </c>
      <c r="F147" s="264">
        <f>'6.Cons Profit &amp; Loss'!E25*(1+$M$124)</f>
        <v>77184057.389058232</v>
      </c>
      <c r="G147" s="264">
        <f>'6.Cons Profit &amp; Loss'!F25*(1+$M$124)</f>
        <v>88691324.25292933</v>
      </c>
      <c r="H147" s="264">
        <f>'6.Cons Profit &amp; Loss'!G25*(1+$M$124)</f>
        <v>101156357.65971494</v>
      </c>
      <c r="I147" s="264">
        <f>'6.Cons Profit &amp; Loss'!H25*(1+$M$124)</f>
        <v>114646166.09654672</v>
      </c>
    </row>
    <row r="148" spans="2:15" ht="14.25" customHeight="1">
      <c r="B148" s="133" t="s">
        <v>538</v>
      </c>
      <c r="C148" s="264">
        <f t="shared" ref="C148:I148" si="20">SUM(C146:C147)</f>
        <v>48705501.422725573</v>
      </c>
      <c r="D148" s="264">
        <f t="shared" si="20"/>
        <v>59117444.850167163</v>
      </c>
      <c r="E148" s="264">
        <f t="shared" si="20"/>
        <v>69010336.588746428</v>
      </c>
      <c r="F148" s="264">
        <f t="shared" si="20"/>
        <v>79744723.889058232</v>
      </c>
      <c r="G148" s="264">
        <f t="shared" si="20"/>
        <v>91380024.077929333</v>
      </c>
      <c r="H148" s="264">
        <f t="shared" si="20"/>
        <v>103979492.47596493</v>
      </c>
      <c r="I148" s="264">
        <f t="shared" si="20"/>
        <v>117610457.65360923</v>
      </c>
    </row>
    <row r="149" spans="2:15" ht="14.25" customHeight="1">
      <c r="B149" s="136" t="s">
        <v>539</v>
      </c>
      <c r="C149" s="266">
        <f t="shared" ref="C149:I149" si="21">+C144-C148</f>
        <v>1676493.2929554135</v>
      </c>
      <c r="D149" s="266">
        <f t="shared" si="21"/>
        <v>3265626.6374107525</v>
      </c>
      <c r="E149" s="266">
        <f t="shared" si="21"/>
        <v>4136130.7743724734</v>
      </c>
      <c r="F149" s="266">
        <f t="shared" si="21"/>
        <v>5085521.258436799</v>
      </c>
      <c r="G149" s="266">
        <f t="shared" si="21"/>
        <v>6119510.4639716297</v>
      </c>
      <c r="H149" s="266">
        <f t="shared" si="21"/>
        <v>7152292.5144138485</v>
      </c>
      <c r="I149" s="266">
        <f t="shared" si="21"/>
        <v>8273053.9937403649</v>
      </c>
      <c r="N149" s="189"/>
      <c r="O149" s="241"/>
    </row>
    <row r="150" spans="2:15" ht="14.25" customHeight="1">
      <c r="B150" s="242"/>
      <c r="C150" s="267"/>
      <c r="D150" s="267"/>
      <c r="E150" s="267"/>
      <c r="F150" s="267"/>
      <c r="G150" s="267"/>
      <c r="H150" s="267"/>
      <c r="I150" s="267"/>
    </row>
    <row r="151" spans="2:15" ht="14.25" customHeight="1">
      <c r="B151" s="168" t="s">
        <v>541</v>
      </c>
      <c r="C151" s="169" t="s">
        <v>204</v>
      </c>
      <c r="D151" s="169" t="s">
        <v>205</v>
      </c>
      <c r="E151" s="169" t="s">
        <v>206</v>
      </c>
      <c r="F151" s="169" t="s">
        <v>207</v>
      </c>
      <c r="G151" s="169" t="s">
        <v>208</v>
      </c>
      <c r="H151" s="169" t="s">
        <v>209</v>
      </c>
      <c r="I151" s="169" t="s">
        <v>210</v>
      </c>
    </row>
    <row r="152" spans="2:15" ht="14.25" customHeight="1">
      <c r="B152" s="133" t="str">
        <f t="shared" ref="B152:B158" si="22">B137</f>
        <v>Activity 1 - Flour Mill</v>
      </c>
      <c r="C152" s="264">
        <f>'6.Cons Profit &amp; Loss'!B8*(1-$M$123)</f>
        <v>22710755.188925695</v>
      </c>
      <c r="D152" s="264">
        <f>'6.Cons Profit &amp; Loss'!C8*(1-$M$123)</f>
        <v>29075743.156348292</v>
      </c>
      <c r="E152" s="264">
        <f>'6.Cons Profit &amp; Loss'!D8*(1-$M$123)</f>
        <v>34922268.488865815</v>
      </c>
      <c r="F152" s="264">
        <f>'6.Cons Profit &amp; Loss'!E8*(1-$M$123)</f>
        <v>41280756.996744208</v>
      </c>
      <c r="G152" s="264">
        <f>'6.Cons Profit &amp; Loss'!F8*(1-$M$123)</f>
        <v>48187788.684188291</v>
      </c>
      <c r="H152" s="264">
        <f>'6.Cons Profit &amp; Loss'!G8*(1-$M$123)</f>
        <v>55682321.647884913</v>
      </c>
      <c r="I152" s="264">
        <f>'6.Cons Profit &amp; Loss'!H8*(1-$M$123)</f>
        <v>63805838.436240725</v>
      </c>
    </row>
    <row r="153" spans="2:15" ht="14.25" customHeight="1">
      <c r="B153" s="133" t="str">
        <f t="shared" si="22"/>
        <v>Activity 2 - Cleaning &amp; Grading Unit</v>
      </c>
      <c r="C153" s="264">
        <f>'6.Cons Profit &amp; Loss'!B9*(1-$M$123)</f>
        <v>24057739.790971246</v>
      </c>
      <c r="D153" s="264">
        <f>'6.Cons Profit &amp; Loss'!C9*(1-$M$123)</f>
        <v>28967234.756850723</v>
      </c>
      <c r="E153" s="264">
        <f>'6.Cons Profit &amp; Loss'!D9*(1-$M$123)</f>
        <v>33209477.506097138</v>
      </c>
      <c r="F153" s="264">
        <f>'6.Cons Profit &amp; Loss'!E9*(1-$M$123)</f>
        <v>37803526.443376057</v>
      </c>
      <c r="G153" s="264">
        <f>'6.Cons Profit &amp; Loss'!F9*(1-$M$123)</f>
        <v>42773956.580617629</v>
      </c>
      <c r="H153" s="264">
        <f>'6.Cons Profit &amp; Loss'!G9*(1-$M$123)</f>
        <v>48146920.915474914</v>
      </c>
      <c r="I153" s="264">
        <f>'6.Cons Profit &amp; Loss'!H9*(1-$M$123)</f>
        <v>53950246.792366393</v>
      </c>
    </row>
    <row r="154" spans="2:15" ht="14.25" customHeight="1">
      <c r="B154" s="133" t="str">
        <f t="shared" si="22"/>
        <v>Faclitiy 3 - Warehouse</v>
      </c>
      <c r="C154" s="264">
        <f>'6.Cons Profit &amp; Loss'!B10*(1-$M$123)</f>
        <v>1094400</v>
      </c>
      <c r="D154" s="264">
        <f>'6.Cons Profit &amp; Loss'!C10*(1-$M$123)</f>
        <v>1220940.0000000002</v>
      </c>
      <c r="E154" s="264">
        <f>'6.Cons Profit &amp; Loss'!D10*(1-$M$123)</f>
        <v>1357398.0000000002</v>
      </c>
      <c r="F154" s="264">
        <f>'6.Cons Profit &amp; Loss'!E10*(1-$M$123)</f>
        <v>1504449.4500000007</v>
      </c>
      <c r="G154" s="264">
        <f>'6.Cons Profit &amp; Loss'!F10*(1-$M$123)</f>
        <v>1662812.5500000007</v>
      </c>
      <c r="H154" s="264">
        <f>'6.Cons Profit &amp; Loss'!G10*(1-$M$123)</f>
        <v>1745953.1775000009</v>
      </c>
      <c r="I154" s="264">
        <f>'6.Cons Profit &amp; Loss'!H10*(1-$M$123)</f>
        <v>1833250.8363750011</v>
      </c>
    </row>
    <row r="155" spans="2:15" ht="14.25" customHeight="1">
      <c r="B155" s="133" t="str">
        <f t="shared" si="22"/>
        <v xml:space="preserve">Faclitiy 4 - Custom Hiring </v>
      </c>
      <c r="C155" s="264">
        <f>'6.Cons Profit &amp; Loss'!B11*(1-$M$123)</f>
        <v>0</v>
      </c>
      <c r="D155" s="264">
        <f>'6.Cons Profit &amp; Loss'!C11*(1-$M$123)</f>
        <v>0</v>
      </c>
      <c r="E155" s="264">
        <f>'6.Cons Profit &amp; Loss'!D11*(1-$M$123)</f>
        <v>0</v>
      </c>
      <c r="F155" s="264">
        <f>'6.Cons Profit &amp; Loss'!E11*(1-$M$123)</f>
        <v>0</v>
      </c>
      <c r="G155" s="264">
        <f>'6.Cons Profit &amp; Loss'!F11*(1-$M$123)</f>
        <v>0</v>
      </c>
      <c r="H155" s="264">
        <f>'6.Cons Profit &amp; Loss'!G11*(1-$M$123)</f>
        <v>0</v>
      </c>
      <c r="I155" s="264">
        <f>'6.Cons Profit &amp; Loss'!H11*(1-$M$123)</f>
        <v>0</v>
      </c>
    </row>
    <row r="156" spans="2:15" ht="14.25" customHeight="1">
      <c r="B156" s="133" t="str">
        <f t="shared" si="22"/>
        <v>Faclitiy 5 - Agri Input Centre</v>
      </c>
      <c r="C156" s="264">
        <f>'6.Cons Profit &amp; Loss'!B12*(1-$M$123)</f>
        <v>0</v>
      </c>
      <c r="D156" s="264">
        <f>'6.Cons Profit &amp; Loss'!C12*(1-$M$123)</f>
        <v>0</v>
      </c>
      <c r="E156" s="264">
        <f>'6.Cons Profit &amp; Loss'!D12*(1-$M$123)</f>
        <v>0</v>
      </c>
      <c r="F156" s="264">
        <f>'6.Cons Profit &amp; Loss'!E12*(1-$M$123)</f>
        <v>0</v>
      </c>
      <c r="G156" s="264">
        <f>'6.Cons Profit &amp; Loss'!F12*(1-$M$123)</f>
        <v>0</v>
      </c>
      <c r="H156" s="264">
        <f>'6.Cons Profit &amp; Loss'!G12*(1-$M$123)</f>
        <v>0</v>
      </c>
      <c r="I156" s="264">
        <f>'6.Cons Profit &amp; Loss'!H12*(1-$M$123)</f>
        <v>0</v>
      </c>
    </row>
    <row r="157" spans="2:15" ht="14.25" customHeight="1">
      <c r="B157" s="133" t="str">
        <f t="shared" si="22"/>
        <v>Facility 4 - Roasted Channa</v>
      </c>
      <c r="C157" s="264">
        <f>'6.Cons Profit &amp; Loss'!B13*(1-$M$123)</f>
        <v>0</v>
      </c>
      <c r="D157" s="264">
        <f>'6.Cons Profit &amp; Loss'!C13*(1-$M$123)</f>
        <v>0</v>
      </c>
      <c r="E157" s="264">
        <f>'6.Cons Profit &amp; Loss'!D13*(1-$M$123)</f>
        <v>0</v>
      </c>
      <c r="F157" s="264">
        <f>'6.Cons Profit &amp; Loss'!E13*(1-$M$123)</f>
        <v>0</v>
      </c>
      <c r="G157" s="264">
        <f>'6.Cons Profit &amp; Loss'!F13*(1-$M$123)</f>
        <v>0</v>
      </c>
      <c r="H157" s="264">
        <f>'6.Cons Profit &amp; Loss'!G13*(1-$M$123)</f>
        <v>0</v>
      </c>
      <c r="I157" s="264">
        <f>'6.Cons Profit &amp; Loss'!H13*(1-$M$123)</f>
        <v>0</v>
      </c>
    </row>
    <row r="158" spans="2:15" ht="14.25" customHeight="1">
      <c r="B158" s="133">
        <f t="shared" si="22"/>
        <v>0</v>
      </c>
      <c r="C158" s="264">
        <f>'6.Cons Profit &amp; Loss'!B14*(1-$M$123)</f>
        <v>0</v>
      </c>
      <c r="D158" s="264">
        <f>'6.Cons Profit &amp; Loss'!C14*(1-$M$123)</f>
        <v>0</v>
      </c>
      <c r="E158" s="264">
        <f>'6.Cons Profit &amp; Loss'!D14*(1-$M$123)</f>
        <v>0</v>
      </c>
      <c r="F158" s="264">
        <f>'6.Cons Profit &amp; Loss'!E14*(1-$M$123)</f>
        <v>0</v>
      </c>
      <c r="G158" s="264">
        <f>'6.Cons Profit &amp; Loss'!F14*(1-$M$123)</f>
        <v>0</v>
      </c>
      <c r="H158" s="264">
        <f>'6.Cons Profit &amp; Loss'!G14*(1-$M$123)</f>
        <v>0</v>
      </c>
      <c r="I158" s="264">
        <f>'6.Cons Profit &amp; Loss'!H14*(1-$M$123)</f>
        <v>0</v>
      </c>
    </row>
    <row r="159" spans="2:15" ht="14.25" customHeight="1">
      <c r="B159" s="133" t="s">
        <v>535</v>
      </c>
      <c r="C159" s="264">
        <f t="shared" ref="C159:I159" si="23">SUM(C152:C158)</f>
        <v>47862894.97989694</v>
      </c>
      <c r="D159" s="264">
        <f t="shared" si="23"/>
        <v>59263917.913199015</v>
      </c>
      <c r="E159" s="264">
        <f t="shared" si="23"/>
        <v>69489143.99496296</v>
      </c>
      <c r="F159" s="264">
        <f t="shared" si="23"/>
        <v>80588732.890120268</v>
      </c>
      <c r="G159" s="264">
        <f t="shared" si="23"/>
        <v>92624557.81480591</v>
      </c>
      <c r="H159" s="264">
        <f t="shared" si="23"/>
        <v>105575195.74085982</v>
      </c>
      <c r="I159" s="264">
        <f t="shared" si="23"/>
        <v>119589336.06498212</v>
      </c>
    </row>
    <row r="160" spans="2:15" ht="14.25" customHeight="1">
      <c r="B160" s="133" t="s">
        <v>536</v>
      </c>
      <c r="C160" s="264"/>
      <c r="D160" s="264"/>
      <c r="E160" s="264"/>
      <c r="F160" s="264"/>
      <c r="G160" s="264"/>
      <c r="H160" s="264"/>
      <c r="I160" s="264"/>
    </row>
    <row r="161" spans="2:9" ht="14.25" customHeight="1">
      <c r="B161" s="133" t="s">
        <v>537</v>
      </c>
      <c r="C161" s="264">
        <f>'6.Cons Profit &amp; Loss'!B36</f>
        <v>2212000</v>
      </c>
      <c r="D161" s="264">
        <f>'6.Cons Profit &amp; Loss'!C36</f>
        <v>2322600</v>
      </c>
      <c r="E161" s="264">
        <f>'6.Cons Profit &amp; Loss'!D36</f>
        <v>2438730</v>
      </c>
      <c r="F161" s="264">
        <f>'6.Cons Profit &amp; Loss'!E36</f>
        <v>2560666.5000000005</v>
      </c>
      <c r="G161" s="264">
        <f>'6.Cons Profit &amp; Loss'!F36</f>
        <v>2688699.8250000002</v>
      </c>
      <c r="H161" s="264">
        <f>'6.Cons Profit &amp; Loss'!G36</f>
        <v>2823134.8162500006</v>
      </c>
      <c r="I161" s="264">
        <f>'6.Cons Profit &amp; Loss'!H36</f>
        <v>2964291.5570625011</v>
      </c>
    </row>
    <row r="162" spans="2:9" ht="14.25" customHeight="1">
      <c r="B162" s="133" t="s">
        <v>404</v>
      </c>
      <c r="C162" s="264">
        <f>'6.Cons Profit &amp; Loss'!B25*(1-$M$123)</f>
        <v>42065548.906275511</v>
      </c>
      <c r="D162" s="264">
        <f>'6.Cons Profit &amp; Loss'!C25*(1-$M$123)</f>
        <v>51385812.007294096</v>
      </c>
      <c r="E162" s="264">
        <f>'6.Cons Profit &amp; Loss'!D25*(1-$M$123)</f>
        <v>60231453.580294393</v>
      </c>
      <c r="F162" s="264">
        <f>'6.Cons Profit &amp; Loss'!E25*(1-$M$123)</f>
        <v>69833194.780576497</v>
      </c>
      <c r="G162" s="264">
        <f>'6.Cons Profit &amp; Loss'!F25*(1-$M$123)</f>
        <v>80244531.466936052</v>
      </c>
      <c r="H162" s="264">
        <f>'6.Cons Profit &amp; Loss'!G25*(1-$M$123)</f>
        <v>91522418.83498016</v>
      </c>
      <c r="I162" s="264">
        <f>'6.Cons Profit &amp; Loss'!H25*(1-$M$123)</f>
        <v>103727483.61116131</v>
      </c>
    </row>
    <row r="163" spans="2:9" ht="14.25" customHeight="1">
      <c r="B163" s="133" t="s">
        <v>538</v>
      </c>
      <c r="C163" s="264">
        <f t="shared" ref="C163:I163" si="24">SUM(C161:C162)</f>
        <v>44277548.906275511</v>
      </c>
      <c r="D163" s="264">
        <f t="shared" si="24"/>
        <v>53708412.007294096</v>
      </c>
      <c r="E163" s="264">
        <f t="shared" si="24"/>
        <v>62670183.580294393</v>
      </c>
      <c r="F163" s="264">
        <f t="shared" si="24"/>
        <v>72393861.280576497</v>
      </c>
      <c r="G163" s="264">
        <f t="shared" si="24"/>
        <v>82933231.291936055</v>
      </c>
      <c r="H163" s="264">
        <f t="shared" si="24"/>
        <v>94345553.651230156</v>
      </c>
      <c r="I163" s="264">
        <f t="shared" si="24"/>
        <v>106691775.16822381</v>
      </c>
    </row>
    <row r="164" spans="2:9" ht="14.25" customHeight="1">
      <c r="B164" s="136" t="s">
        <v>539</v>
      </c>
      <c r="C164" s="266">
        <f t="shared" ref="C164:I164" si="25">+C159-C163</f>
        <v>3585346.0736214295</v>
      </c>
      <c r="D164" s="266">
        <f t="shared" si="25"/>
        <v>5555505.9059049189</v>
      </c>
      <c r="E164" s="266">
        <f t="shared" si="25"/>
        <v>6818960.4146685675</v>
      </c>
      <c r="F164" s="266">
        <f t="shared" si="25"/>
        <v>8194871.6095437706</v>
      </c>
      <c r="G164" s="266">
        <f t="shared" si="25"/>
        <v>9691326.5228698552</v>
      </c>
      <c r="H164" s="266">
        <f t="shared" si="25"/>
        <v>11229642.089629665</v>
      </c>
      <c r="I164" s="266">
        <f t="shared" si="25"/>
        <v>12897560.896758303</v>
      </c>
    </row>
    <row r="165" spans="2:9" ht="14.25" customHeight="1">
      <c r="C165" s="267"/>
      <c r="D165" s="267"/>
      <c r="E165" s="267"/>
      <c r="F165" s="267"/>
      <c r="G165" s="267"/>
      <c r="H165" s="267"/>
      <c r="I165" s="267"/>
    </row>
    <row r="166" spans="2:9" ht="14.25" customHeight="1">
      <c r="B166" s="168" t="s">
        <v>542</v>
      </c>
      <c r="C166" s="169" t="s">
        <v>204</v>
      </c>
      <c r="D166" s="169" t="s">
        <v>205</v>
      </c>
      <c r="E166" s="169" t="s">
        <v>206</v>
      </c>
      <c r="F166" s="169" t="s">
        <v>207</v>
      </c>
      <c r="G166" s="169" t="s">
        <v>208</v>
      </c>
      <c r="H166" s="169" t="s">
        <v>209</v>
      </c>
      <c r="I166" s="169" t="s">
        <v>210</v>
      </c>
    </row>
    <row r="167" spans="2:9" ht="14.25" customHeight="1">
      <c r="B167" s="133" t="str">
        <f t="shared" ref="B167:B173" si="26">B152</f>
        <v>Activity 1 - Flour Mill</v>
      </c>
      <c r="C167" s="268">
        <f>'6.Cons Profit &amp; Loss'!B8</f>
        <v>23906058.093605995</v>
      </c>
      <c r="D167" s="268">
        <f>'6.Cons Profit &amp; Loss'!C8</f>
        <v>30606045.427735046</v>
      </c>
      <c r="E167" s="268">
        <f>'6.Cons Profit &amp; Loss'!D8</f>
        <v>36760282.619858757</v>
      </c>
      <c r="F167" s="268">
        <f>'6.Cons Profit &amp; Loss'!E8</f>
        <v>43453428.417625487</v>
      </c>
      <c r="G167" s="268">
        <f>'6.Cons Profit &amp; Loss'!F8</f>
        <v>50723988.088619255</v>
      </c>
      <c r="H167" s="268">
        <f>'6.Cons Profit &amp; Loss'!G8</f>
        <v>58612970.155668333</v>
      </c>
      <c r="I167" s="268">
        <f>'6.Cons Profit &amp; Loss'!H8</f>
        <v>67164040.45920077</v>
      </c>
    </row>
    <row r="168" spans="2:9" ht="14.25" customHeight="1">
      <c r="B168" s="133" t="str">
        <f t="shared" si="26"/>
        <v>Activity 2 - Cleaning &amp; Grading Unit</v>
      </c>
      <c r="C168" s="268">
        <f>'6.Cons Profit &amp; Loss'!B9</f>
        <v>25323936.622074995</v>
      </c>
      <c r="D168" s="268">
        <f>'6.Cons Profit &amp; Loss'!C9</f>
        <v>30491826.05984287</v>
      </c>
      <c r="E168" s="268">
        <f>'6.Cons Profit &amp; Loss'!D9</f>
        <v>34957344.743260145</v>
      </c>
      <c r="F168" s="268">
        <f>'6.Cons Profit &amp; Loss'!E9</f>
        <v>39793185.729869537</v>
      </c>
      <c r="G168" s="268">
        <f>'6.Cons Profit &amp; Loss'!F9</f>
        <v>45025217.453281716</v>
      </c>
      <c r="H168" s="268">
        <f>'6.Cons Profit &amp; Loss'!G9</f>
        <v>50680969.384710439</v>
      </c>
      <c r="I168" s="268">
        <f>'6.Cons Profit &amp; Loss'!H9</f>
        <v>56789733.465648837</v>
      </c>
    </row>
    <row r="169" spans="2:9" ht="14.25" customHeight="1">
      <c r="B169" s="133" t="str">
        <f t="shared" si="26"/>
        <v>Faclitiy 3 - Warehouse</v>
      </c>
      <c r="C169" s="268">
        <f>'6.Cons Profit &amp; Loss'!B10</f>
        <v>1152000</v>
      </c>
      <c r="D169" s="268">
        <f>'6.Cons Profit &amp; Loss'!C10</f>
        <v>1285200.0000000002</v>
      </c>
      <c r="E169" s="268">
        <f>'6.Cons Profit &amp; Loss'!D10</f>
        <v>1428840.0000000002</v>
      </c>
      <c r="F169" s="268">
        <f>'6.Cons Profit &amp; Loss'!E10</f>
        <v>1583631.0000000007</v>
      </c>
      <c r="G169" s="268">
        <f>'6.Cons Profit &amp; Loss'!F10</f>
        <v>1750329.0000000009</v>
      </c>
      <c r="H169" s="268">
        <f>'6.Cons Profit &amp; Loss'!G10</f>
        <v>1837845.4500000011</v>
      </c>
      <c r="I169" s="268">
        <f>'6.Cons Profit &amp; Loss'!H10</f>
        <v>1929737.7225000013</v>
      </c>
    </row>
    <row r="170" spans="2:9" ht="14.25" customHeight="1">
      <c r="B170" s="133" t="str">
        <f t="shared" si="26"/>
        <v xml:space="preserve">Faclitiy 4 - Custom Hiring </v>
      </c>
      <c r="C170" s="268">
        <f>'6.Cons Profit &amp; Loss'!B11</f>
        <v>0</v>
      </c>
      <c r="D170" s="268">
        <f>'6.Cons Profit &amp; Loss'!C11</f>
        <v>0</v>
      </c>
      <c r="E170" s="268">
        <f>'6.Cons Profit &amp; Loss'!D11</f>
        <v>0</v>
      </c>
      <c r="F170" s="268">
        <f>'6.Cons Profit &amp; Loss'!E11</f>
        <v>0</v>
      </c>
      <c r="G170" s="268">
        <f>'6.Cons Profit &amp; Loss'!F11</f>
        <v>0</v>
      </c>
      <c r="H170" s="268">
        <f>'6.Cons Profit &amp; Loss'!G11</f>
        <v>0</v>
      </c>
      <c r="I170" s="268">
        <f>'6.Cons Profit &amp; Loss'!H11</f>
        <v>0</v>
      </c>
    </row>
    <row r="171" spans="2:9" ht="14.25" customHeight="1">
      <c r="B171" s="133" t="str">
        <f t="shared" si="26"/>
        <v>Faclitiy 5 - Agri Input Centre</v>
      </c>
      <c r="C171" s="268">
        <f>'6.Cons Profit &amp; Loss'!B12</f>
        <v>0</v>
      </c>
      <c r="D171" s="268">
        <f>'6.Cons Profit &amp; Loss'!C12</f>
        <v>0</v>
      </c>
      <c r="E171" s="268">
        <f>'6.Cons Profit &amp; Loss'!D12</f>
        <v>0</v>
      </c>
      <c r="F171" s="268">
        <f>'6.Cons Profit &amp; Loss'!E12</f>
        <v>0</v>
      </c>
      <c r="G171" s="268">
        <f>'6.Cons Profit &amp; Loss'!F12</f>
        <v>0</v>
      </c>
      <c r="H171" s="268">
        <f>'6.Cons Profit &amp; Loss'!G12</f>
        <v>0</v>
      </c>
      <c r="I171" s="268">
        <f>'6.Cons Profit &amp; Loss'!H12</f>
        <v>0</v>
      </c>
    </row>
    <row r="172" spans="2:9" ht="14.25" customHeight="1">
      <c r="B172" s="133" t="str">
        <f t="shared" si="26"/>
        <v>Facility 4 - Roasted Channa</v>
      </c>
      <c r="C172" s="268">
        <f>'6.Cons Profit &amp; Loss'!B13</f>
        <v>0</v>
      </c>
      <c r="D172" s="268">
        <f>'6.Cons Profit &amp; Loss'!C13</f>
        <v>0</v>
      </c>
      <c r="E172" s="268">
        <f>'6.Cons Profit &amp; Loss'!D13</f>
        <v>0</v>
      </c>
      <c r="F172" s="268">
        <f>'6.Cons Profit &amp; Loss'!E13</f>
        <v>0</v>
      </c>
      <c r="G172" s="268">
        <f>'6.Cons Profit &amp; Loss'!F13</f>
        <v>0</v>
      </c>
      <c r="H172" s="268">
        <f>'6.Cons Profit &amp; Loss'!G13</f>
        <v>0</v>
      </c>
      <c r="I172" s="268">
        <f>'6.Cons Profit &amp; Loss'!H13</f>
        <v>0</v>
      </c>
    </row>
    <row r="173" spans="2:9" ht="14.25" customHeight="1">
      <c r="B173" s="133">
        <f t="shared" si="26"/>
        <v>0</v>
      </c>
      <c r="C173" s="268">
        <f>'6.Cons Profit &amp; Loss'!B14</f>
        <v>0</v>
      </c>
      <c r="D173" s="268">
        <f>'6.Cons Profit &amp; Loss'!C14</f>
        <v>0</v>
      </c>
      <c r="E173" s="268">
        <f>'6.Cons Profit &amp; Loss'!D14</f>
        <v>0</v>
      </c>
      <c r="F173" s="268">
        <f>'6.Cons Profit &amp; Loss'!E14</f>
        <v>0</v>
      </c>
      <c r="G173" s="268">
        <f>'6.Cons Profit &amp; Loss'!F14</f>
        <v>0</v>
      </c>
      <c r="H173" s="268">
        <f>'6.Cons Profit &amp; Loss'!G14</f>
        <v>0</v>
      </c>
      <c r="I173" s="268">
        <f>'6.Cons Profit &amp; Loss'!H14</f>
        <v>0</v>
      </c>
    </row>
    <row r="174" spans="2:9" ht="14.25" customHeight="1">
      <c r="B174" s="133" t="s">
        <v>535</v>
      </c>
      <c r="C174" s="268">
        <f t="shared" ref="C174:I174" si="27">SUM(C167:C173)</f>
        <v>50381994.715680987</v>
      </c>
      <c r="D174" s="268">
        <f t="shared" si="27"/>
        <v>62383071.487577915</v>
      </c>
      <c r="E174" s="268">
        <f t="shared" si="27"/>
        <v>73146467.363118902</v>
      </c>
      <c r="F174" s="268">
        <f t="shared" si="27"/>
        <v>84830245.147495031</v>
      </c>
      <c r="G174" s="268">
        <f t="shared" si="27"/>
        <v>97499534.541900963</v>
      </c>
      <c r="H174" s="268">
        <f t="shared" si="27"/>
        <v>111131784.99037878</v>
      </c>
      <c r="I174" s="268">
        <f t="shared" si="27"/>
        <v>125883511.6473496</v>
      </c>
    </row>
    <row r="175" spans="2:9" ht="14.25" customHeight="1">
      <c r="B175" s="133" t="s">
        <v>536</v>
      </c>
      <c r="C175" s="268"/>
      <c r="D175" s="268"/>
      <c r="E175" s="268"/>
      <c r="F175" s="268"/>
      <c r="G175" s="268"/>
      <c r="H175" s="268"/>
      <c r="I175" s="268"/>
    </row>
    <row r="176" spans="2:9" ht="14.25" customHeight="1">
      <c r="B176" s="133" t="s">
        <v>537</v>
      </c>
      <c r="C176" s="268">
        <f>'6.Cons Profit &amp; Loss'!B36</f>
        <v>2212000</v>
      </c>
      <c r="D176" s="268">
        <f>'6.Cons Profit &amp; Loss'!C36</f>
        <v>2322600</v>
      </c>
      <c r="E176" s="268">
        <f>'6.Cons Profit &amp; Loss'!D36</f>
        <v>2438730</v>
      </c>
      <c r="F176" s="268">
        <f>'6.Cons Profit &amp; Loss'!E36</f>
        <v>2560666.5000000005</v>
      </c>
      <c r="G176" s="268">
        <f>'6.Cons Profit &amp; Loss'!F36</f>
        <v>2688699.8250000002</v>
      </c>
      <c r="H176" s="268">
        <f>'6.Cons Profit &amp; Loss'!G36</f>
        <v>2823134.8162500006</v>
      </c>
      <c r="I176" s="268">
        <f>'6.Cons Profit &amp; Loss'!H36</f>
        <v>2964291.5570625011</v>
      </c>
    </row>
    <row r="177" spans="2:13" ht="14.25" customHeight="1">
      <c r="B177" s="133" t="s">
        <v>404</v>
      </c>
      <c r="C177" s="268">
        <f>'6.Cons Profit &amp; Loss'!B25*(1-$M$124)</f>
        <v>42065548.906275511</v>
      </c>
      <c r="D177" s="268">
        <f>'6.Cons Profit &amp; Loss'!C25*(1-$M$124)</f>
        <v>51385812.007294096</v>
      </c>
      <c r="E177" s="268">
        <f>'6.Cons Profit &amp; Loss'!D25*(1-$M$124)</f>
        <v>60231453.580294393</v>
      </c>
      <c r="F177" s="268">
        <f>'6.Cons Profit &amp; Loss'!E25*(1-$M$124)</f>
        <v>69833194.780576497</v>
      </c>
      <c r="G177" s="268">
        <f>'6.Cons Profit &amp; Loss'!F25*(1-$M$124)</f>
        <v>80244531.466936052</v>
      </c>
      <c r="H177" s="268">
        <f>'6.Cons Profit &amp; Loss'!G25*(1-$M$124)</f>
        <v>91522418.83498016</v>
      </c>
      <c r="I177" s="268">
        <f>'6.Cons Profit &amp; Loss'!H25*(1-$M$124)</f>
        <v>103727483.61116131</v>
      </c>
    </row>
    <row r="178" spans="2:13" ht="14.25" customHeight="1">
      <c r="B178" s="133" t="s">
        <v>538</v>
      </c>
      <c r="C178" s="268">
        <f t="shared" ref="C178:I178" si="28">SUM(C176:C177)</f>
        <v>44277548.906275511</v>
      </c>
      <c r="D178" s="268">
        <f t="shared" si="28"/>
        <v>53708412.007294096</v>
      </c>
      <c r="E178" s="268">
        <f t="shared" si="28"/>
        <v>62670183.580294393</v>
      </c>
      <c r="F178" s="268">
        <f t="shared" si="28"/>
        <v>72393861.280576497</v>
      </c>
      <c r="G178" s="268">
        <f t="shared" si="28"/>
        <v>82933231.291936055</v>
      </c>
      <c r="H178" s="268">
        <f t="shared" si="28"/>
        <v>94345553.651230156</v>
      </c>
      <c r="I178" s="268">
        <f t="shared" si="28"/>
        <v>106691775.16822381</v>
      </c>
    </row>
    <row r="179" spans="2:13" ht="14.25" customHeight="1">
      <c r="B179" s="136" t="s">
        <v>539</v>
      </c>
      <c r="C179" s="270">
        <f t="shared" ref="C179:I179" si="29">+C174-C178</f>
        <v>6104445.8094054759</v>
      </c>
      <c r="D179" s="270">
        <f t="shared" si="29"/>
        <v>8674659.4802838191</v>
      </c>
      <c r="E179" s="270">
        <f t="shared" si="29"/>
        <v>10476283.782824509</v>
      </c>
      <c r="F179" s="270">
        <f t="shared" si="29"/>
        <v>12436383.866918534</v>
      </c>
      <c r="G179" s="270">
        <f t="shared" si="29"/>
        <v>14566303.249964908</v>
      </c>
      <c r="H179" s="270">
        <f t="shared" si="29"/>
        <v>16786231.339148626</v>
      </c>
      <c r="I179" s="270">
        <f t="shared" si="29"/>
        <v>19191736.479125783</v>
      </c>
    </row>
    <row r="180" spans="2:13" ht="14.25" customHeight="1"/>
    <row r="181" spans="2:13" ht="40.5" customHeight="1">
      <c r="B181" s="408" t="s">
        <v>543</v>
      </c>
      <c r="C181" s="360"/>
      <c r="D181" s="360"/>
      <c r="E181" s="360"/>
      <c r="F181" s="360"/>
      <c r="G181" s="360"/>
      <c r="H181" s="360"/>
      <c r="I181" s="360"/>
      <c r="J181" s="271"/>
      <c r="K181" s="271"/>
      <c r="L181" s="271"/>
      <c r="M181" s="271"/>
    </row>
  </sheetData>
  <mergeCells count="20">
    <mergeCell ref="B181:I181"/>
    <mergeCell ref="K120:R120"/>
    <mergeCell ref="B105:I105"/>
    <mergeCell ref="B120:I120"/>
    <mergeCell ref="B118:J118"/>
    <mergeCell ref="B103:J103"/>
    <mergeCell ref="B90:J90"/>
    <mergeCell ref="B5:J5"/>
    <mergeCell ref="B26:I26"/>
    <mergeCell ref="B54:I54"/>
    <mergeCell ref="B51:J51"/>
    <mergeCell ref="B24:J24"/>
    <mergeCell ref="D20:J20"/>
    <mergeCell ref="D22:J22"/>
    <mergeCell ref="B75:J75"/>
    <mergeCell ref="B88:I88"/>
    <mergeCell ref="B76:I76"/>
    <mergeCell ref="C82:I82"/>
    <mergeCell ref="C83:I83"/>
    <mergeCell ref="C85:I85"/>
  </mergeCells>
  <hyperlinks>
    <hyperlink ref="B24" r:id="rId1" xr:uid="{00000000-0004-0000-0A00-000000000000}"/>
  </hyperlinks>
  <pageMargins left="0.7" right="0.7" top="0.75" bottom="0.75" header="0" footer="0"/>
  <pageSetup scale="57"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19"/>
  <sheetViews>
    <sheetView topLeftCell="A66" workbookViewId="0">
      <selection activeCell="G88" sqref="G88"/>
    </sheetView>
  </sheetViews>
  <sheetFormatPr defaultColWidth="14.42578125" defaultRowHeight="15" customHeight="1"/>
  <cols>
    <col min="1" max="1" width="49.140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4.25" customHeight="1">
      <c r="A1" s="359" t="s">
        <v>544</v>
      </c>
      <c r="B1" s="360"/>
      <c r="C1" s="360"/>
      <c r="D1" s="360"/>
      <c r="E1" s="360"/>
      <c r="F1" s="360"/>
      <c r="G1" s="360"/>
      <c r="H1" s="360"/>
    </row>
    <row r="2" spans="1:26" ht="14.25" customHeight="1">
      <c r="B2" s="189"/>
    </row>
    <row r="3" spans="1:26" ht="14.25" customHeight="1">
      <c r="A3" s="414" t="s">
        <v>545</v>
      </c>
      <c r="B3" s="356"/>
    </row>
    <row r="4" spans="1:26" s="425" customFormat="1" ht="14.25" customHeight="1">
      <c r="A4" s="423" t="s">
        <v>201</v>
      </c>
      <c r="B4" s="427" t="s">
        <v>212</v>
      </c>
      <c r="C4" s="428"/>
      <c r="D4" s="428"/>
      <c r="E4" s="428"/>
      <c r="F4" s="428"/>
      <c r="G4" s="428"/>
      <c r="H4" s="428"/>
    </row>
    <row r="5" spans="1:26" ht="14.25" customHeight="1">
      <c r="A5" s="64" t="s">
        <v>546</v>
      </c>
      <c r="B5" s="273">
        <v>587</v>
      </c>
      <c r="D5" s="274"/>
      <c r="E5" s="274"/>
      <c r="F5" s="274"/>
      <c r="G5" s="274"/>
      <c r="H5" s="274"/>
    </row>
    <row r="6" spans="1:26" ht="14.25" customHeight="1">
      <c r="A6" s="64" t="s">
        <v>547</v>
      </c>
      <c r="B6" s="273">
        <v>2000</v>
      </c>
      <c r="D6" s="274"/>
      <c r="E6" s="274"/>
      <c r="F6" s="274"/>
      <c r="G6" s="274"/>
      <c r="H6" s="274"/>
    </row>
    <row r="7" spans="1:26" ht="14.25" customHeight="1">
      <c r="A7" s="68" t="s">
        <v>87</v>
      </c>
      <c r="B7" s="68">
        <f>B5+B6</f>
        <v>2587</v>
      </c>
      <c r="C7" s="100"/>
      <c r="D7" s="275"/>
      <c r="E7" s="275"/>
      <c r="F7" s="275"/>
      <c r="G7" s="275"/>
      <c r="H7" s="275"/>
    </row>
    <row r="8" spans="1:26" ht="14.25" customHeight="1">
      <c r="A8" s="68" t="s">
        <v>548</v>
      </c>
      <c r="B8" s="276">
        <v>5</v>
      </c>
      <c r="C8" s="100"/>
      <c r="D8" s="100"/>
      <c r="E8" s="100"/>
      <c r="F8" s="100"/>
      <c r="G8" s="100"/>
      <c r="H8" s="100"/>
    </row>
    <row r="9" spans="1:26" ht="14.25" customHeight="1">
      <c r="A9" s="68" t="s">
        <v>549</v>
      </c>
      <c r="B9" s="68">
        <f>B7*B8</f>
        <v>12935</v>
      </c>
      <c r="C9" s="275"/>
      <c r="D9" s="275"/>
      <c r="E9" s="275"/>
      <c r="F9" s="275"/>
      <c r="G9" s="275"/>
      <c r="H9" s="275"/>
    </row>
    <row r="10" spans="1:26" ht="14.25" customHeight="1">
      <c r="J10" t="s">
        <v>550</v>
      </c>
      <c r="O10" t="s">
        <v>551</v>
      </c>
      <c r="U10" t="s">
        <v>16</v>
      </c>
      <c r="Y10" t="s">
        <v>552</v>
      </c>
      <c r="Z10" t="s">
        <v>553</v>
      </c>
    </row>
    <row r="11" spans="1:26" ht="14.25" customHeight="1">
      <c r="A11" s="359" t="s">
        <v>554</v>
      </c>
      <c r="B11" s="360"/>
      <c r="C11" s="360"/>
      <c r="D11" s="360"/>
      <c r="E11" s="360"/>
      <c r="F11" s="360"/>
      <c r="G11" s="360"/>
      <c r="H11" s="360"/>
      <c r="I11" s="100"/>
      <c r="J11" s="100"/>
      <c r="K11" s="100"/>
      <c r="L11" s="100"/>
      <c r="M11" s="100"/>
      <c r="N11" s="100"/>
      <c r="O11" s="100"/>
      <c r="P11" s="100"/>
    </row>
    <row r="12" spans="1:26" ht="14.25" customHeight="1">
      <c r="J12" s="189">
        <v>0.65</v>
      </c>
      <c r="K12" s="277">
        <f t="shared" ref="K12:N12" si="0">J12+0.05</f>
        <v>0.70000000000000007</v>
      </c>
      <c r="L12" s="277">
        <f t="shared" si="0"/>
        <v>0.75000000000000011</v>
      </c>
      <c r="M12" s="277">
        <f t="shared" si="0"/>
        <v>0.80000000000000016</v>
      </c>
      <c r="N12" s="277">
        <f t="shared" si="0"/>
        <v>0.8500000000000002</v>
      </c>
      <c r="O12" s="189">
        <v>0.4</v>
      </c>
      <c r="P12" s="189">
        <f t="shared" ref="P12:T12" si="1">O12+0.05</f>
        <v>0.45</v>
      </c>
      <c r="Q12" s="189">
        <f t="shared" si="1"/>
        <v>0.5</v>
      </c>
      <c r="R12" s="189">
        <f t="shared" si="1"/>
        <v>0.55000000000000004</v>
      </c>
      <c r="S12" s="189">
        <f>R12+0.05</f>
        <v>0.60000000000000009</v>
      </c>
      <c r="T12" s="189">
        <f t="shared" si="1"/>
        <v>0.65000000000000013</v>
      </c>
      <c r="U12" s="189">
        <v>0.1</v>
      </c>
      <c r="V12" s="241">
        <f t="shared" ref="V12:X12" si="2">U12+0.05</f>
        <v>0.15000000000000002</v>
      </c>
      <c r="W12" s="241">
        <f t="shared" si="2"/>
        <v>0.2</v>
      </c>
      <c r="X12" s="241">
        <f t="shared" si="2"/>
        <v>0.25</v>
      </c>
    </row>
    <row r="13" spans="1:26" s="425" customFormat="1" ht="14.25" customHeight="1">
      <c r="A13" s="423" t="s">
        <v>555</v>
      </c>
      <c r="B13" s="423" t="s">
        <v>556</v>
      </c>
      <c r="C13" s="424" t="s">
        <v>557</v>
      </c>
      <c r="D13" s="424" t="s">
        <v>558</v>
      </c>
      <c r="E13" s="424" t="s">
        <v>559</v>
      </c>
      <c r="F13" s="424" t="s">
        <v>560</v>
      </c>
      <c r="G13" s="424" t="s">
        <v>561</v>
      </c>
      <c r="H13" s="424" t="s">
        <v>562</v>
      </c>
      <c r="O13" s="426" t="s">
        <v>204</v>
      </c>
      <c r="P13" s="426" t="s">
        <v>205</v>
      </c>
      <c r="Q13" s="426" t="s">
        <v>206</v>
      </c>
      <c r="R13" s="426" t="s">
        <v>207</v>
      </c>
      <c r="S13" s="426" t="s">
        <v>208</v>
      </c>
      <c r="T13" s="426" t="s">
        <v>204</v>
      </c>
      <c r="U13" s="426" t="s">
        <v>205</v>
      </c>
      <c r="V13" s="426" t="s">
        <v>206</v>
      </c>
      <c r="W13" s="426" t="s">
        <v>207</v>
      </c>
      <c r="X13" s="426" t="s">
        <v>208</v>
      </c>
    </row>
    <row r="14" spans="1:26" ht="14.25" customHeight="1">
      <c r="A14" s="416" t="s">
        <v>563</v>
      </c>
      <c r="B14" s="273" t="s">
        <v>564</v>
      </c>
      <c r="C14" s="280">
        <v>0.2</v>
      </c>
      <c r="D14" s="64">
        <f t="shared" ref="D14:D22" si="3">$B$9*C14</f>
        <v>2587</v>
      </c>
      <c r="E14" s="281">
        <v>10.49</v>
      </c>
      <c r="F14" s="64">
        <f>D14*E14</f>
        <v>27137.63</v>
      </c>
      <c r="G14" s="282">
        <v>0</v>
      </c>
      <c r="H14" s="64">
        <f t="shared" ref="H14:H22" si="4">(F14-F14*G14)</f>
        <v>27137.63</v>
      </c>
      <c r="J14">
        <f t="shared" ref="J14:N14" si="5">$D$14*J12</f>
        <v>1681.55</v>
      </c>
      <c r="K14">
        <f t="shared" si="5"/>
        <v>1810.9</v>
      </c>
      <c r="L14">
        <f t="shared" si="5"/>
        <v>1940.2500000000002</v>
      </c>
      <c r="M14">
        <f t="shared" si="5"/>
        <v>2069.6000000000004</v>
      </c>
      <c r="N14">
        <f t="shared" si="5"/>
        <v>2198.9500000000007</v>
      </c>
    </row>
    <row r="15" spans="1:26" ht="14.25" customHeight="1">
      <c r="A15" s="350"/>
      <c r="B15" s="273" t="s">
        <v>565</v>
      </c>
      <c r="C15" s="280">
        <v>0.2</v>
      </c>
      <c r="D15" s="64">
        <f t="shared" si="3"/>
        <v>2587</v>
      </c>
      <c r="E15" s="283">
        <v>7</v>
      </c>
      <c r="F15" s="64">
        <f t="shared" ref="F14:F22" si="6">D15*E15</f>
        <v>18109</v>
      </c>
      <c r="G15" s="282">
        <v>0.02</v>
      </c>
      <c r="H15" s="64">
        <f t="shared" si="4"/>
        <v>17746.82</v>
      </c>
    </row>
    <row r="16" spans="1:26" ht="14.25" customHeight="1">
      <c r="A16" s="350"/>
      <c r="B16" s="273" t="s">
        <v>566</v>
      </c>
      <c r="C16" s="280">
        <v>0</v>
      </c>
      <c r="D16" s="64">
        <f t="shared" si="3"/>
        <v>0</v>
      </c>
      <c r="E16" s="283">
        <v>4</v>
      </c>
      <c r="F16" s="64">
        <f t="shared" si="6"/>
        <v>0</v>
      </c>
      <c r="G16" s="282">
        <v>0</v>
      </c>
      <c r="H16" s="64">
        <f t="shared" si="4"/>
        <v>0</v>
      </c>
    </row>
    <row r="17" spans="1:8" ht="14.25" customHeight="1">
      <c r="A17" s="350"/>
      <c r="B17" s="273" t="s">
        <v>567</v>
      </c>
      <c r="C17" s="280">
        <v>0.1</v>
      </c>
      <c r="D17" s="64">
        <f t="shared" si="3"/>
        <v>1293.5</v>
      </c>
      <c r="E17" s="283">
        <v>7</v>
      </c>
      <c r="F17" s="64">
        <f t="shared" si="6"/>
        <v>9054.5</v>
      </c>
      <c r="G17" s="282">
        <v>0.02</v>
      </c>
      <c r="H17" s="64">
        <f t="shared" si="4"/>
        <v>8873.41</v>
      </c>
    </row>
    <row r="18" spans="1:8" ht="14.25" customHeight="1">
      <c r="A18" s="350"/>
      <c r="B18" s="273" t="s">
        <v>568</v>
      </c>
      <c r="C18" s="280">
        <v>0</v>
      </c>
      <c r="D18" s="64">
        <f t="shared" si="3"/>
        <v>0</v>
      </c>
      <c r="E18" s="283">
        <v>20</v>
      </c>
      <c r="F18" s="64">
        <f t="shared" si="6"/>
        <v>0</v>
      </c>
      <c r="G18" s="282">
        <v>0</v>
      </c>
      <c r="H18" s="64">
        <f t="shared" si="4"/>
        <v>0</v>
      </c>
    </row>
    <row r="19" spans="1:8" ht="14.25" customHeight="1">
      <c r="A19" s="350"/>
      <c r="B19" s="273" t="s">
        <v>569</v>
      </c>
      <c r="C19" s="280">
        <v>0.1</v>
      </c>
      <c r="D19" s="64">
        <f t="shared" si="3"/>
        <v>1293.5</v>
      </c>
      <c r="E19" s="283">
        <v>7</v>
      </c>
      <c r="F19" s="64">
        <f t="shared" si="6"/>
        <v>9054.5</v>
      </c>
      <c r="G19" s="282">
        <v>0.02</v>
      </c>
      <c r="H19" s="64">
        <f t="shared" si="4"/>
        <v>8873.41</v>
      </c>
    </row>
    <row r="20" spans="1:8" ht="14.25" customHeight="1">
      <c r="A20" s="350"/>
      <c r="B20" s="273" t="s">
        <v>570</v>
      </c>
      <c r="C20" s="280">
        <v>0</v>
      </c>
      <c r="D20" s="64">
        <f t="shared" si="3"/>
        <v>0</v>
      </c>
      <c r="E20" s="283">
        <v>6</v>
      </c>
      <c r="F20" s="64">
        <f t="shared" si="6"/>
        <v>0</v>
      </c>
      <c r="G20" s="282">
        <v>0.02</v>
      </c>
      <c r="H20" s="64">
        <f t="shared" si="4"/>
        <v>0</v>
      </c>
    </row>
    <row r="21" spans="1:8" ht="14.25" customHeight="1">
      <c r="A21" s="350"/>
      <c r="B21" s="273" t="s">
        <v>571</v>
      </c>
      <c r="C21" s="280">
        <v>0.1</v>
      </c>
      <c r="D21" s="64">
        <f t="shared" si="3"/>
        <v>1293.5</v>
      </c>
      <c r="E21" s="283">
        <v>10</v>
      </c>
      <c r="F21" s="64">
        <f t="shared" si="6"/>
        <v>12935</v>
      </c>
      <c r="G21" s="282">
        <v>0</v>
      </c>
      <c r="H21" s="64">
        <f t="shared" si="4"/>
        <v>12935</v>
      </c>
    </row>
    <row r="22" spans="1:8" ht="14.25" customHeight="1">
      <c r="A22" s="351"/>
      <c r="B22" s="273" t="s">
        <v>572</v>
      </c>
      <c r="C22" s="280">
        <v>0</v>
      </c>
      <c r="D22" s="64">
        <f t="shared" si="3"/>
        <v>0</v>
      </c>
      <c r="E22" s="283"/>
      <c r="F22" s="64">
        <f t="shared" si="6"/>
        <v>0</v>
      </c>
      <c r="G22" s="282">
        <v>0</v>
      </c>
      <c r="H22" s="64">
        <f t="shared" si="4"/>
        <v>0</v>
      </c>
    </row>
    <row r="23" spans="1:8" ht="14.25" customHeight="1">
      <c r="A23" s="284" t="s">
        <v>573</v>
      </c>
      <c r="B23" s="280">
        <v>0.6</v>
      </c>
      <c r="C23" s="64">
        <f>B9*B23</f>
        <v>7761</v>
      </c>
      <c r="D23" s="64"/>
      <c r="E23" s="283"/>
      <c r="F23" s="64"/>
      <c r="G23" s="282"/>
      <c r="H23" s="64"/>
    </row>
    <row r="24" spans="1:8" ht="14.25" customHeight="1">
      <c r="A24" s="416" t="s">
        <v>574</v>
      </c>
      <c r="B24" s="273" t="s">
        <v>575</v>
      </c>
      <c r="C24" s="280">
        <v>0.3</v>
      </c>
      <c r="D24" s="64">
        <f t="shared" ref="D24:D31" si="7">C$23*C24</f>
        <v>2328.2999999999997</v>
      </c>
      <c r="E24" s="281">
        <v>10.4</v>
      </c>
      <c r="F24" s="64">
        <f t="shared" ref="F24:F31" si="8">D24*E24</f>
        <v>24214.32</v>
      </c>
      <c r="G24" s="282">
        <v>0.1</v>
      </c>
      <c r="H24" s="64">
        <f t="shared" ref="H24:H31" si="9">(F24-F24*G24)</f>
        <v>21792.887999999999</v>
      </c>
    </row>
    <row r="25" spans="1:8" ht="14.25" customHeight="1">
      <c r="A25" s="350"/>
      <c r="B25" s="273" t="s">
        <v>576</v>
      </c>
      <c r="C25" s="280">
        <v>0.3</v>
      </c>
      <c r="D25" s="64">
        <f t="shared" si="7"/>
        <v>2328.2999999999997</v>
      </c>
      <c r="E25" s="283">
        <v>8</v>
      </c>
      <c r="F25" s="64">
        <f t="shared" si="8"/>
        <v>18626.399999999998</v>
      </c>
      <c r="G25" s="282">
        <v>0.02</v>
      </c>
      <c r="H25" s="64">
        <f t="shared" si="9"/>
        <v>18253.871999999999</v>
      </c>
    </row>
    <row r="26" spans="1:8" ht="14.25" customHeight="1">
      <c r="A26" s="350"/>
      <c r="B26" s="273" t="s">
        <v>571</v>
      </c>
      <c r="C26" s="280">
        <v>0</v>
      </c>
      <c r="D26" s="64">
        <f t="shared" si="7"/>
        <v>0</v>
      </c>
      <c r="E26" s="283">
        <v>10</v>
      </c>
      <c r="F26" s="64">
        <f t="shared" si="8"/>
        <v>0</v>
      </c>
      <c r="G26" s="282">
        <v>0.05</v>
      </c>
      <c r="H26" s="64">
        <f t="shared" si="9"/>
        <v>0</v>
      </c>
    </row>
    <row r="27" spans="1:8" ht="14.25" customHeight="1">
      <c r="A27" s="350"/>
      <c r="B27" s="273" t="s">
        <v>568</v>
      </c>
      <c r="C27" s="280">
        <v>0</v>
      </c>
      <c r="D27" s="64">
        <f t="shared" si="7"/>
        <v>0</v>
      </c>
      <c r="E27" s="283">
        <v>20</v>
      </c>
      <c r="F27" s="64">
        <f t="shared" si="8"/>
        <v>0</v>
      </c>
      <c r="G27" s="282">
        <v>0</v>
      </c>
      <c r="H27" s="64">
        <f t="shared" si="9"/>
        <v>0</v>
      </c>
    </row>
    <row r="28" spans="1:8" ht="14.25" customHeight="1">
      <c r="A28" s="350"/>
      <c r="B28" s="273" t="s">
        <v>577</v>
      </c>
      <c r="C28" s="280">
        <v>0</v>
      </c>
      <c r="D28" s="64">
        <f t="shared" si="7"/>
        <v>0</v>
      </c>
      <c r="E28" s="283"/>
      <c r="F28" s="64">
        <f t="shared" si="8"/>
        <v>0</v>
      </c>
      <c r="G28" s="282">
        <v>0</v>
      </c>
      <c r="H28" s="64">
        <f t="shared" si="9"/>
        <v>0</v>
      </c>
    </row>
    <row r="29" spans="1:8" ht="14.25" customHeight="1">
      <c r="A29" s="350"/>
      <c r="B29" s="273"/>
      <c r="C29" s="280">
        <v>0</v>
      </c>
      <c r="D29" s="64">
        <f t="shared" si="7"/>
        <v>0</v>
      </c>
      <c r="E29" s="283"/>
      <c r="F29" s="64">
        <f t="shared" si="8"/>
        <v>0</v>
      </c>
      <c r="G29" s="282">
        <v>0</v>
      </c>
      <c r="H29" s="64">
        <f t="shared" si="9"/>
        <v>0</v>
      </c>
    </row>
    <row r="30" spans="1:8" ht="14.25" customHeight="1">
      <c r="A30" s="350"/>
      <c r="B30" s="273"/>
      <c r="C30" s="280">
        <v>0</v>
      </c>
      <c r="D30" s="64">
        <f t="shared" si="7"/>
        <v>0</v>
      </c>
      <c r="E30" s="283"/>
      <c r="F30" s="64">
        <f t="shared" si="8"/>
        <v>0</v>
      </c>
      <c r="G30" s="282">
        <v>0</v>
      </c>
      <c r="H30" s="64">
        <f t="shared" si="9"/>
        <v>0</v>
      </c>
    </row>
    <row r="31" spans="1:8" ht="14.25" customHeight="1">
      <c r="A31" s="351"/>
      <c r="B31" s="273"/>
      <c r="C31" s="280">
        <v>0</v>
      </c>
      <c r="D31" s="64">
        <f t="shared" si="7"/>
        <v>0</v>
      </c>
      <c r="E31" s="283"/>
      <c r="F31" s="64">
        <f t="shared" si="8"/>
        <v>0</v>
      </c>
      <c r="G31" s="282">
        <v>0</v>
      </c>
      <c r="H31" s="64">
        <f t="shared" si="9"/>
        <v>0</v>
      </c>
    </row>
    <row r="32" spans="1:8" ht="14.25" customHeight="1">
      <c r="A32" s="284" t="s">
        <v>578</v>
      </c>
      <c r="B32" s="280">
        <v>0</v>
      </c>
      <c r="C32" s="64">
        <f>B9*B32</f>
        <v>0</v>
      </c>
      <c r="D32" s="64"/>
      <c r="E32" s="283"/>
      <c r="F32" s="64"/>
      <c r="G32" s="282"/>
      <c r="H32" s="64"/>
    </row>
    <row r="33" spans="1:13" ht="14.25" customHeight="1">
      <c r="A33" s="285" t="s">
        <v>579</v>
      </c>
      <c r="B33" s="273" t="s">
        <v>580</v>
      </c>
      <c r="C33" s="280">
        <v>0</v>
      </c>
      <c r="D33" s="64">
        <f t="shared" ref="D33:D36" si="10">C$32*C33</f>
        <v>0</v>
      </c>
      <c r="E33" s="283"/>
      <c r="F33" s="64">
        <f t="shared" ref="F33:F36" si="11">D33*E33</f>
        <v>0</v>
      </c>
      <c r="G33" s="282">
        <v>0</v>
      </c>
      <c r="H33" s="64">
        <f t="shared" ref="H33:H36" si="12">(F33-F33*G33)</f>
        <v>0</v>
      </c>
    </row>
    <row r="34" spans="1:13" ht="14.25" customHeight="1">
      <c r="A34" s="8"/>
      <c r="B34" s="273"/>
      <c r="C34" s="280">
        <v>0</v>
      </c>
      <c r="D34" s="64">
        <f t="shared" si="10"/>
        <v>0</v>
      </c>
      <c r="E34" s="283"/>
      <c r="F34" s="64">
        <f t="shared" si="11"/>
        <v>0</v>
      </c>
      <c r="G34" s="282">
        <v>0</v>
      </c>
      <c r="H34" s="64">
        <f t="shared" si="12"/>
        <v>0</v>
      </c>
    </row>
    <row r="35" spans="1:13" ht="14.25" customHeight="1">
      <c r="A35" s="8"/>
      <c r="B35" s="273"/>
      <c r="C35" s="280">
        <v>0</v>
      </c>
      <c r="D35" s="64">
        <f t="shared" si="10"/>
        <v>0</v>
      </c>
      <c r="E35" s="283"/>
      <c r="F35" s="64">
        <f t="shared" si="11"/>
        <v>0</v>
      </c>
      <c r="G35" s="282">
        <v>0</v>
      </c>
      <c r="H35" s="64">
        <f t="shared" si="12"/>
        <v>0</v>
      </c>
    </row>
    <row r="36" spans="1:13" ht="14.25" customHeight="1">
      <c r="A36" s="286"/>
      <c r="B36" s="273"/>
      <c r="C36" s="280">
        <v>0</v>
      </c>
      <c r="D36" s="64">
        <f t="shared" si="10"/>
        <v>0</v>
      </c>
      <c r="E36" s="283"/>
      <c r="F36" s="64">
        <f t="shared" si="11"/>
        <v>0</v>
      </c>
      <c r="G36" s="282">
        <v>0</v>
      </c>
      <c r="H36" s="64">
        <f t="shared" si="12"/>
        <v>0</v>
      </c>
    </row>
    <row r="37" spans="1:13" ht="14.25" customHeight="1">
      <c r="A37" s="415" t="s">
        <v>581</v>
      </c>
      <c r="B37" s="360"/>
      <c r="C37" s="360"/>
      <c r="D37" s="360"/>
      <c r="E37" s="360"/>
      <c r="F37" s="360"/>
      <c r="G37" s="360"/>
      <c r="H37" s="360"/>
    </row>
    <row r="38" spans="1:13" ht="14.25" customHeight="1"/>
    <row r="39" spans="1:13" ht="14.25" customHeight="1">
      <c r="A39" s="417" t="s">
        <v>582</v>
      </c>
      <c r="B39" s="347"/>
      <c r="C39" s="347"/>
      <c r="D39" s="347"/>
      <c r="E39" s="347"/>
      <c r="F39" s="347"/>
      <c r="G39" s="347"/>
      <c r="H39" s="348"/>
    </row>
    <row r="40" spans="1:13" ht="14.25" customHeight="1">
      <c r="A40" s="429" t="s">
        <v>201</v>
      </c>
      <c r="B40" s="287">
        <v>0.5</v>
      </c>
      <c r="C40" s="287">
        <f t="shared" ref="C40:H40" si="13">B40+0.05</f>
        <v>0.55000000000000004</v>
      </c>
      <c r="D40" s="287">
        <f t="shared" si="13"/>
        <v>0.60000000000000009</v>
      </c>
      <c r="E40" s="287">
        <f t="shared" si="13"/>
        <v>0.65000000000000013</v>
      </c>
      <c r="F40" s="287">
        <f t="shared" si="13"/>
        <v>0.70000000000000018</v>
      </c>
      <c r="G40" s="287">
        <f t="shared" si="13"/>
        <v>0.75000000000000022</v>
      </c>
      <c r="H40" s="287">
        <f t="shared" si="13"/>
        <v>0.80000000000000027</v>
      </c>
    </row>
    <row r="41" spans="1:13" s="425" customFormat="1" ht="14.25" customHeight="1">
      <c r="A41" s="430"/>
      <c r="B41" s="427" t="s">
        <v>204</v>
      </c>
      <c r="C41" s="427" t="s">
        <v>205</v>
      </c>
      <c r="D41" s="427" t="s">
        <v>206</v>
      </c>
      <c r="E41" s="427" t="s">
        <v>207</v>
      </c>
      <c r="F41" s="427" t="s">
        <v>208</v>
      </c>
      <c r="G41" s="427" t="s">
        <v>209</v>
      </c>
      <c r="H41" s="427" t="s">
        <v>210</v>
      </c>
    </row>
    <row r="42" spans="1:13" ht="14.25" customHeight="1">
      <c r="A42" s="64" t="str">
        <f t="shared" ref="A42:A50" si="14">B14</f>
        <v>Soybean</v>
      </c>
      <c r="B42" s="64">
        <f>H14*$B$40</f>
        <v>13568.815000000001</v>
      </c>
      <c r="C42" s="64">
        <f t="shared" ref="C42:H42" si="15">(B42/B$40)*C$40</f>
        <v>14925.696500000002</v>
      </c>
      <c r="D42" s="64">
        <f t="shared" si="15"/>
        <v>16282.578000000003</v>
      </c>
      <c r="E42" s="64">
        <f t="shared" si="15"/>
        <v>17639.459500000004</v>
      </c>
      <c r="F42" s="64">
        <f t="shared" si="15"/>
        <v>18996.341000000004</v>
      </c>
      <c r="G42" s="64">
        <f t="shared" si="15"/>
        <v>20353.222500000003</v>
      </c>
      <c r="H42" s="64">
        <f t="shared" si="15"/>
        <v>21710.104000000007</v>
      </c>
      <c r="I42" s="288"/>
      <c r="J42" s="288"/>
      <c r="K42" s="288"/>
      <c r="L42" s="288"/>
      <c r="M42" s="288"/>
    </row>
    <row r="43" spans="1:13" ht="14.25" customHeight="1">
      <c r="A43" s="64" t="str">
        <f t="shared" si="14"/>
        <v>Red Gram/Tur</v>
      </c>
      <c r="B43" s="64">
        <f t="shared" ref="B42:B48" si="16">H15*$B$40</f>
        <v>8873.41</v>
      </c>
      <c r="C43" s="64">
        <f t="shared" ref="C43:H43" si="17">(B43/B$40)*C$40</f>
        <v>9760.7510000000002</v>
      </c>
      <c r="D43" s="64">
        <f t="shared" si="17"/>
        <v>10648.092000000001</v>
      </c>
      <c r="E43" s="64">
        <f t="shared" si="17"/>
        <v>11535.433000000003</v>
      </c>
      <c r="F43" s="64">
        <f t="shared" si="17"/>
        <v>12422.774000000003</v>
      </c>
      <c r="G43" s="64">
        <f t="shared" si="17"/>
        <v>13310.115000000003</v>
      </c>
      <c r="H43" s="64">
        <f>(G43/G$40)*H$40</f>
        <v>14197.456000000004</v>
      </c>
      <c r="I43" s="288"/>
      <c r="J43" s="288"/>
      <c r="K43" s="288"/>
      <c r="L43" s="288"/>
      <c r="M43" s="288"/>
    </row>
    <row r="44" spans="1:13" ht="14.25" hidden="1" customHeight="1">
      <c r="A44" s="64" t="str">
        <f t="shared" si="14"/>
        <v>Paddy/Rice</v>
      </c>
      <c r="B44" s="64">
        <f t="shared" si="16"/>
        <v>0</v>
      </c>
      <c r="C44" s="64">
        <f t="shared" ref="C44:H44" si="18">(B44/B$40)*C$40</f>
        <v>0</v>
      </c>
      <c r="D44" s="64">
        <f t="shared" si="18"/>
        <v>0</v>
      </c>
      <c r="E44" s="64">
        <f t="shared" si="18"/>
        <v>0</v>
      </c>
      <c r="F44" s="64">
        <f t="shared" si="18"/>
        <v>0</v>
      </c>
      <c r="G44" s="64">
        <f t="shared" si="18"/>
        <v>0</v>
      </c>
      <c r="H44" s="64">
        <f t="shared" si="18"/>
        <v>0</v>
      </c>
      <c r="I44" s="288"/>
      <c r="J44" s="288"/>
      <c r="K44" s="288"/>
      <c r="L44" s="288"/>
      <c r="M44" s="288"/>
    </row>
    <row r="45" spans="1:13" ht="14.25" customHeight="1">
      <c r="A45" s="64" t="str">
        <f t="shared" si="14"/>
        <v>Green Gram/ Moong</v>
      </c>
      <c r="B45" s="64">
        <f t="shared" si="16"/>
        <v>4436.7049999999999</v>
      </c>
      <c r="C45" s="64">
        <f t="shared" ref="C45:H45" si="19">(B45/B$40)*C$40</f>
        <v>4880.3755000000001</v>
      </c>
      <c r="D45" s="64">
        <f t="shared" si="19"/>
        <v>5324.0460000000003</v>
      </c>
      <c r="E45" s="64">
        <f t="shared" si="19"/>
        <v>5767.7165000000014</v>
      </c>
      <c r="F45" s="64">
        <f t="shared" si="19"/>
        <v>6211.3870000000015</v>
      </c>
      <c r="G45" s="64">
        <f t="shared" si="19"/>
        <v>6655.0575000000017</v>
      </c>
      <c r="H45" s="64">
        <f t="shared" si="19"/>
        <v>7098.7280000000019</v>
      </c>
      <c r="I45" s="288"/>
      <c r="J45" s="288"/>
      <c r="K45" s="288"/>
      <c r="L45" s="288"/>
      <c r="M45" s="288"/>
    </row>
    <row r="46" spans="1:13" ht="14.25" hidden="1" customHeight="1">
      <c r="A46" s="64" t="str">
        <f t="shared" si="14"/>
        <v>Maize</v>
      </c>
      <c r="B46" s="64">
        <f t="shared" si="16"/>
        <v>0</v>
      </c>
      <c r="C46" s="64">
        <f t="shared" ref="C46:H46" si="20">(B46/B$40)*C$40</f>
        <v>0</v>
      </c>
      <c r="D46" s="64">
        <f t="shared" si="20"/>
        <v>0</v>
      </c>
      <c r="E46" s="64">
        <f t="shared" si="20"/>
        <v>0</v>
      </c>
      <c r="F46" s="64">
        <f t="shared" si="20"/>
        <v>0</v>
      </c>
      <c r="G46" s="64">
        <f t="shared" si="20"/>
        <v>0</v>
      </c>
      <c r="H46" s="64">
        <f t="shared" si="20"/>
        <v>0</v>
      </c>
      <c r="I46" s="288"/>
      <c r="J46" s="288"/>
      <c r="K46" s="288"/>
      <c r="L46" s="288"/>
      <c r="M46" s="288"/>
    </row>
    <row r="47" spans="1:13" ht="14.25" customHeight="1">
      <c r="A47" s="64" t="str">
        <f t="shared" si="14"/>
        <v>Black Gram/Udid</v>
      </c>
      <c r="B47" s="64">
        <f>H19*$B$40</f>
        <v>4436.7049999999999</v>
      </c>
      <c r="C47" s="64">
        <f t="shared" ref="C47:H47" si="21">(B47/B$40)*C$40</f>
        <v>4880.3755000000001</v>
      </c>
      <c r="D47" s="64">
        <f t="shared" si="21"/>
        <v>5324.0460000000003</v>
      </c>
      <c r="E47" s="64">
        <f t="shared" si="21"/>
        <v>5767.7165000000014</v>
      </c>
      <c r="F47" s="64">
        <f t="shared" si="21"/>
        <v>6211.3870000000015</v>
      </c>
      <c r="G47" s="64">
        <f t="shared" si="21"/>
        <v>6655.0575000000017</v>
      </c>
      <c r="H47" s="64">
        <f t="shared" si="21"/>
        <v>7098.7280000000019</v>
      </c>
      <c r="I47" s="288"/>
      <c r="J47" s="288"/>
      <c r="K47" s="288"/>
      <c r="L47" s="288"/>
      <c r="M47" s="288"/>
    </row>
    <row r="48" spans="1:13" ht="14.25" hidden="1" customHeight="1">
      <c r="A48" s="64" t="str">
        <f t="shared" si="14"/>
        <v>Bajra</v>
      </c>
      <c r="B48" s="64">
        <f t="shared" si="16"/>
        <v>0</v>
      </c>
      <c r="C48" s="64">
        <f t="shared" ref="C48:H48" si="22">(B48/B$40)*C$40</f>
        <v>0</v>
      </c>
      <c r="D48" s="64">
        <f t="shared" si="22"/>
        <v>0</v>
      </c>
      <c r="E48" s="64">
        <f t="shared" si="22"/>
        <v>0</v>
      </c>
      <c r="F48" s="64">
        <f t="shared" si="22"/>
        <v>0</v>
      </c>
      <c r="G48" s="64">
        <f t="shared" si="22"/>
        <v>0</v>
      </c>
      <c r="H48" s="64">
        <f t="shared" si="22"/>
        <v>0</v>
      </c>
      <c r="I48" s="288"/>
      <c r="J48" s="288"/>
      <c r="K48" s="288"/>
      <c r="L48" s="288"/>
      <c r="M48" s="288"/>
    </row>
    <row r="49" spans="1:13" ht="14.25" hidden="1" customHeight="1">
      <c r="A49" s="64" t="str">
        <f t="shared" si="14"/>
        <v>Jawar</v>
      </c>
      <c r="B49" s="64">
        <f>H21*$B$40*0</f>
        <v>0</v>
      </c>
      <c r="C49" s="64">
        <f t="shared" ref="C49:H49" si="23">(B49/B$40)*C$40</f>
        <v>0</v>
      </c>
      <c r="D49" s="64">
        <f t="shared" si="23"/>
        <v>0</v>
      </c>
      <c r="E49" s="64">
        <f t="shared" si="23"/>
        <v>0</v>
      </c>
      <c r="F49" s="64">
        <f t="shared" si="23"/>
        <v>0</v>
      </c>
      <c r="G49" s="64">
        <f t="shared" si="23"/>
        <v>0</v>
      </c>
      <c r="H49" s="64">
        <f t="shared" si="23"/>
        <v>0</v>
      </c>
      <c r="I49" s="288"/>
      <c r="J49" s="288"/>
      <c r="K49" s="288"/>
      <c r="L49" s="288"/>
      <c r="M49" s="288"/>
    </row>
    <row r="50" spans="1:13" ht="14.25" hidden="1" customHeight="1">
      <c r="A50" s="64" t="str">
        <f t="shared" si="14"/>
        <v>Sunflower</v>
      </c>
      <c r="B50" s="64">
        <f>H22*$B$40</f>
        <v>0</v>
      </c>
      <c r="C50" s="64">
        <f t="shared" ref="C50:H50" si="24">(B50/B$40)*C$40</f>
        <v>0</v>
      </c>
      <c r="D50" s="64">
        <f t="shared" si="24"/>
        <v>0</v>
      </c>
      <c r="E50" s="64">
        <f t="shared" si="24"/>
        <v>0</v>
      </c>
      <c r="F50" s="64">
        <f t="shared" si="24"/>
        <v>0</v>
      </c>
      <c r="G50" s="64">
        <f t="shared" si="24"/>
        <v>0</v>
      </c>
      <c r="H50" s="64">
        <f t="shared" si="24"/>
        <v>0</v>
      </c>
      <c r="I50" s="288"/>
      <c r="J50" s="288"/>
      <c r="K50" s="288"/>
      <c r="L50" s="288"/>
      <c r="M50" s="288"/>
    </row>
    <row r="51" spans="1:13" ht="14.25" hidden="1" customHeight="1">
      <c r="A51" s="64" t="str">
        <f t="shared" ref="A51:A58" si="25">B24</f>
        <v>Wheat</v>
      </c>
      <c r="B51" s="64">
        <f>H24*$B$40*0</f>
        <v>0</v>
      </c>
      <c r="C51" s="64">
        <f t="shared" ref="C51:H51" si="26">(B51/B$40)*C$40</f>
        <v>0</v>
      </c>
      <c r="D51" s="64">
        <f t="shared" si="26"/>
        <v>0</v>
      </c>
      <c r="E51" s="64">
        <f t="shared" si="26"/>
        <v>0</v>
      </c>
      <c r="F51" s="64">
        <f t="shared" si="26"/>
        <v>0</v>
      </c>
      <c r="G51" s="64">
        <f t="shared" si="26"/>
        <v>0</v>
      </c>
      <c r="H51" s="64">
        <f t="shared" si="26"/>
        <v>0</v>
      </c>
      <c r="I51" s="288"/>
      <c r="J51" s="288"/>
      <c r="K51" s="288"/>
      <c r="L51" s="288"/>
      <c r="M51" s="288"/>
    </row>
    <row r="52" spans="1:13" ht="14.25" customHeight="1">
      <c r="A52" s="64" t="str">
        <f t="shared" si="25"/>
        <v>Bengal Gram/Channa</v>
      </c>
      <c r="B52" s="64">
        <f>H25*$B$40</f>
        <v>9126.9359999999997</v>
      </c>
      <c r="C52" s="64">
        <f t="shared" ref="C52:H52" si="27">(B52/B$40)*C$40</f>
        <v>10039.6296</v>
      </c>
      <c r="D52" s="64">
        <f t="shared" si="27"/>
        <v>10952.323200000001</v>
      </c>
      <c r="E52" s="64">
        <f t="shared" si="27"/>
        <v>11865.016800000001</v>
      </c>
      <c r="F52" s="64">
        <f t="shared" si="27"/>
        <v>12777.710400000004</v>
      </c>
      <c r="G52" s="64">
        <f t="shared" si="27"/>
        <v>13690.404000000004</v>
      </c>
      <c r="H52" s="64">
        <f t="shared" si="27"/>
        <v>14603.097600000005</v>
      </c>
      <c r="I52" s="288"/>
      <c r="J52" s="288"/>
      <c r="K52" s="288"/>
      <c r="L52" s="288"/>
      <c r="M52" s="288"/>
    </row>
    <row r="53" spans="1:13" ht="14.25" hidden="1" customHeight="1">
      <c r="A53" s="64" t="str">
        <f t="shared" si="25"/>
        <v>Jawar</v>
      </c>
      <c r="B53" s="64">
        <f t="shared" ref="B52:B58" si="28">H26*$B$40</f>
        <v>0</v>
      </c>
      <c r="C53" s="64">
        <f t="shared" ref="C53:H53" si="29">(B53/B$40)*C$40</f>
        <v>0</v>
      </c>
      <c r="D53" s="64">
        <f t="shared" si="29"/>
        <v>0</v>
      </c>
      <c r="E53" s="64">
        <f t="shared" si="29"/>
        <v>0</v>
      </c>
      <c r="F53" s="64">
        <f t="shared" si="29"/>
        <v>0</v>
      </c>
      <c r="G53" s="64">
        <f t="shared" si="29"/>
        <v>0</v>
      </c>
      <c r="H53" s="64">
        <f t="shared" si="29"/>
        <v>0</v>
      </c>
    </row>
    <row r="54" spans="1:13" ht="14.25" hidden="1" customHeight="1">
      <c r="A54" s="64" t="str">
        <f t="shared" si="25"/>
        <v>Maize</v>
      </c>
      <c r="B54" s="64">
        <f t="shared" si="28"/>
        <v>0</v>
      </c>
      <c r="C54" s="64">
        <f t="shared" ref="C54:H54" si="30">(B54/B$40)*C$40</f>
        <v>0</v>
      </c>
      <c r="D54" s="64">
        <f t="shared" si="30"/>
        <v>0</v>
      </c>
      <c r="E54" s="64">
        <f t="shared" si="30"/>
        <v>0</v>
      </c>
      <c r="F54" s="64">
        <f t="shared" si="30"/>
        <v>0</v>
      </c>
      <c r="G54" s="64">
        <f t="shared" si="30"/>
        <v>0</v>
      </c>
      <c r="H54" s="64">
        <f t="shared" si="30"/>
        <v>0</v>
      </c>
    </row>
    <row r="55" spans="1:13" ht="14.25" hidden="1" customHeight="1">
      <c r="A55" s="64" t="str">
        <f t="shared" si="25"/>
        <v>Safflower</v>
      </c>
      <c r="B55" s="64">
        <f t="shared" si="28"/>
        <v>0</v>
      </c>
      <c r="C55" s="64">
        <f t="shared" ref="C55:H55" si="31">(B55/B$40)*C$40</f>
        <v>0</v>
      </c>
      <c r="D55" s="64">
        <f t="shared" si="31"/>
        <v>0</v>
      </c>
      <c r="E55" s="64">
        <f t="shared" si="31"/>
        <v>0</v>
      </c>
      <c r="F55" s="64">
        <f t="shared" si="31"/>
        <v>0</v>
      </c>
      <c r="G55" s="64">
        <f t="shared" si="31"/>
        <v>0</v>
      </c>
      <c r="H55" s="64">
        <f t="shared" si="31"/>
        <v>0</v>
      </c>
    </row>
    <row r="56" spans="1:13" ht="14.25" hidden="1" customHeight="1">
      <c r="A56" s="64">
        <f t="shared" si="25"/>
        <v>0</v>
      </c>
      <c r="B56" s="64">
        <f t="shared" si="28"/>
        <v>0</v>
      </c>
      <c r="C56" s="64">
        <f t="shared" ref="C56:H56" si="32">(B56/B$40)*C$40</f>
        <v>0</v>
      </c>
      <c r="D56" s="64">
        <f t="shared" si="32"/>
        <v>0</v>
      </c>
      <c r="E56" s="64">
        <f t="shared" si="32"/>
        <v>0</v>
      </c>
      <c r="F56" s="64">
        <f t="shared" si="32"/>
        <v>0</v>
      </c>
      <c r="G56" s="64">
        <f t="shared" si="32"/>
        <v>0</v>
      </c>
      <c r="H56" s="64">
        <f t="shared" si="32"/>
        <v>0</v>
      </c>
    </row>
    <row r="57" spans="1:13" ht="14.25" hidden="1" customHeight="1">
      <c r="A57" s="64">
        <f t="shared" si="25"/>
        <v>0</v>
      </c>
      <c r="B57" s="64">
        <f t="shared" si="28"/>
        <v>0</v>
      </c>
      <c r="C57" s="64">
        <f t="shared" ref="C57:H57" si="33">(B57/B$40)*C$40</f>
        <v>0</v>
      </c>
      <c r="D57" s="64">
        <f t="shared" si="33"/>
        <v>0</v>
      </c>
      <c r="E57" s="64">
        <f t="shared" si="33"/>
        <v>0</v>
      </c>
      <c r="F57" s="64">
        <f t="shared" si="33"/>
        <v>0</v>
      </c>
      <c r="G57" s="64">
        <f t="shared" si="33"/>
        <v>0</v>
      </c>
      <c r="H57" s="64">
        <f t="shared" si="33"/>
        <v>0</v>
      </c>
    </row>
    <row r="58" spans="1:13" ht="14.25" hidden="1" customHeight="1">
      <c r="A58" s="64">
        <f t="shared" si="25"/>
        <v>0</v>
      </c>
      <c r="B58" s="64">
        <f t="shared" si="28"/>
        <v>0</v>
      </c>
      <c r="C58" s="64">
        <f t="shared" ref="C58:H58" si="34">(B58/B$40)*C$40</f>
        <v>0</v>
      </c>
      <c r="D58" s="64">
        <f t="shared" si="34"/>
        <v>0</v>
      </c>
      <c r="E58" s="64">
        <f t="shared" si="34"/>
        <v>0</v>
      </c>
      <c r="F58" s="64">
        <f t="shared" si="34"/>
        <v>0</v>
      </c>
      <c r="G58" s="64">
        <f t="shared" si="34"/>
        <v>0</v>
      </c>
      <c r="H58" s="64">
        <f t="shared" si="34"/>
        <v>0</v>
      </c>
    </row>
    <row r="59" spans="1:13" ht="14.25" hidden="1" customHeight="1">
      <c r="A59" s="64" t="str">
        <f t="shared" ref="A59:A62" si="35">B33</f>
        <v>Groundnut</v>
      </c>
      <c r="B59" s="64">
        <f t="shared" ref="B59:B62" si="36">H33*$B$40</f>
        <v>0</v>
      </c>
      <c r="C59" s="64">
        <f t="shared" ref="C59:H59" si="37">(B59/B$40)*C$40</f>
        <v>0</v>
      </c>
      <c r="D59" s="64">
        <f t="shared" si="37"/>
        <v>0</v>
      </c>
      <c r="E59" s="64">
        <f t="shared" si="37"/>
        <v>0</v>
      </c>
      <c r="F59" s="64">
        <f t="shared" si="37"/>
        <v>0</v>
      </c>
      <c r="G59" s="64">
        <f t="shared" si="37"/>
        <v>0</v>
      </c>
      <c r="H59" s="64">
        <f t="shared" si="37"/>
        <v>0</v>
      </c>
    </row>
    <row r="60" spans="1:13" ht="14.25" hidden="1" customHeight="1">
      <c r="A60" s="64">
        <f t="shared" si="35"/>
        <v>0</v>
      </c>
      <c r="B60" s="64">
        <f t="shared" si="36"/>
        <v>0</v>
      </c>
      <c r="C60" s="64">
        <f t="shared" ref="C60:H60" si="38">(B60/B$40)*C$40</f>
        <v>0</v>
      </c>
      <c r="D60" s="64">
        <f t="shared" si="38"/>
        <v>0</v>
      </c>
      <c r="E60" s="64">
        <f t="shared" si="38"/>
        <v>0</v>
      </c>
      <c r="F60" s="64">
        <f t="shared" si="38"/>
        <v>0</v>
      </c>
      <c r="G60" s="64">
        <f t="shared" si="38"/>
        <v>0</v>
      </c>
      <c r="H60" s="64">
        <f t="shared" si="38"/>
        <v>0</v>
      </c>
    </row>
    <row r="61" spans="1:13" ht="14.25" hidden="1" customHeight="1">
      <c r="A61" s="64">
        <f t="shared" si="35"/>
        <v>0</v>
      </c>
      <c r="B61" s="64">
        <f t="shared" si="36"/>
        <v>0</v>
      </c>
      <c r="C61" s="64">
        <f t="shared" ref="C61:H61" si="39">(B61/B$40)*C$40</f>
        <v>0</v>
      </c>
      <c r="D61" s="64">
        <f t="shared" si="39"/>
        <v>0</v>
      </c>
      <c r="E61" s="64">
        <f t="shared" si="39"/>
        <v>0</v>
      </c>
      <c r="F61" s="64">
        <f t="shared" si="39"/>
        <v>0</v>
      </c>
      <c r="G61" s="64">
        <f t="shared" si="39"/>
        <v>0</v>
      </c>
      <c r="H61" s="64">
        <f t="shared" si="39"/>
        <v>0</v>
      </c>
    </row>
    <row r="62" spans="1:13" ht="14.25" hidden="1" customHeight="1">
      <c r="A62" s="64">
        <f t="shared" si="35"/>
        <v>0</v>
      </c>
      <c r="B62" s="64">
        <f t="shared" si="36"/>
        <v>0</v>
      </c>
      <c r="C62" s="64">
        <f t="shared" ref="C62:H62" si="40">(B62/B$40)*C$40</f>
        <v>0</v>
      </c>
      <c r="D62" s="64">
        <f t="shared" si="40"/>
        <v>0</v>
      </c>
      <c r="E62" s="64">
        <f t="shared" si="40"/>
        <v>0</v>
      </c>
      <c r="F62" s="64">
        <f t="shared" si="40"/>
        <v>0</v>
      </c>
      <c r="G62" s="64">
        <f t="shared" si="40"/>
        <v>0</v>
      </c>
      <c r="H62" s="64">
        <f t="shared" si="40"/>
        <v>0</v>
      </c>
    </row>
    <row r="63" spans="1:13" ht="14.25" customHeight="1"/>
    <row r="64" spans="1:13" ht="14.25" customHeight="1">
      <c r="A64" s="411" t="s">
        <v>583</v>
      </c>
      <c r="B64" s="347"/>
      <c r="C64" s="347"/>
      <c r="D64" s="347"/>
      <c r="E64" s="347"/>
      <c r="F64" s="347"/>
      <c r="G64" s="347"/>
      <c r="H64" s="348"/>
    </row>
    <row r="65" spans="1:13" ht="14.25" customHeight="1">
      <c r="A65" s="431" t="s">
        <v>201</v>
      </c>
      <c r="B65" s="289">
        <v>0.3</v>
      </c>
      <c r="C65" s="289">
        <f t="shared" ref="C65:H65" si="41">B65+0.05</f>
        <v>0.35</v>
      </c>
      <c r="D65" s="289">
        <f t="shared" si="41"/>
        <v>0.39999999999999997</v>
      </c>
      <c r="E65" s="289">
        <f t="shared" si="41"/>
        <v>0.44999999999999996</v>
      </c>
      <c r="F65" s="289">
        <f t="shared" si="41"/>
        <v>0.49999999999999994</v>
      </c>
      <c r="G65" s="289">
        <f t="shared" si="41"/>
        <v>0.54999999999999993</v>
      </c>
      <c r="H65" s="289">
        <f t="shared" si="41"/>
        <v>0.6</v>
      </c>
    </row>
    <row r="66" spans="1:13" s="425" customFormat="1" ht="14.25" customHeight="1">
      <c r="A66" s="430"/>
      <c r="B66" s="427" t="s">
        <v>204</v>
      </c>
      <c r="C66" s="427" t="s">
        <v>205</v>
      </c>
      <c r="D66" s="427" t="s">
        <v>206</v>
      </c>
      <c r="E66" s="427" t="s">
        <v>207</v>
      </c>
      <c r="F66" s="427" t="s">
        <v>208</v>
      </c>
      <c r="G66" s="427" t="s">
        <v>209</v>
      </c>
      <c r="H66" s="427" t="s">
        <v>210</v>
      </c>
    </row>
    <row r="67" spans="1:13" ht="14.25" hidden="1" customHeight="1">
      <c r="A67" s="64" t="str">
        <f t="shared" ref="A67:A87" si="42">A42</f>
        <v>Soybean</v>
      </c>
      <c r="B67" s="64">
        <f t="shared" ref="B67:B68" si="43">H14*$B$65*0</f>
        <v>0</v>
      </c>
      <c r="C67" s="64">
        <f t="shared" ref="C67:H67" si="44">(B67/B$65)*C$65</f>
        <v>0</v>
      </c>
      <c r="D67" s="64">
        <f t="shared" si="44"/>
        <v>0</v>
      </c>
      <c r="E67" s="64">
        <f t="shared" si="44"/>
        <v>0</v>
      </c>
      <c r="F67" s="64">
        <f t="shared" si="44"/>
        <v>0</v>
      </c>
      <c r="G67" s="64">
        <f t="shared" si="44"/>
        <v>0</v>
      </c>
      <c r="H67" s="64">
        <f t="shared" si="44"/>
        <v>0</v>
      </c>
    </row>
    <row r="68" spans="1:13" ht="14.25" hidden="1" customHeight="1">
      <c r="A68" s="64" t="str">
        <f t="shared" si="42"/>
        <v>Red Gram/Tur</v>
      </c>
      <c r="B68" s="64">
        <f t="shared" si="43"/>
        <v>0</v>
      </c>
      <c r="C68" s="64">
        <f t="shared" ref="C68:H68" si="45">(B68/B$65)*C$65</f>
        <v>0</v>
      </c>
      <c r="D68" s="64">
        <f t="shared" si="45"/>
        <v>0</v>
      </c>
      <c r="E68" s="64">
        <f t="shared" si="45"/>
        <v>0</v>
      </c>
      <c r="F68" s="64">
        <f t="shared" si="45"/>
        <v>0</v>
      </c>
      <c r="G68" s="64">
        <f t="shared" si="45"/>
        <v>0</v>
      </c>
      <c r="H68" s="64">
        <f t="shared" si="45"/>
        <v>0</v>
      </c>
    </row>
    <row r="69" spans="1:13" ht="14.25" hidden="1" customHeight="1">
      <c r="A69" s="64" t="str">
        <f t="shared" si="42"/>
        <v>Paddy/Rice</v>
      </c>
      <c r="B69" s="64">
        <f>H16*$B$65</f>
        <v>0</v>
      </c>
      <c r="C69" s="64">
        <f t="shared" ref="C69:H69" si="46">(B69/B$65)*C$65</f>
        <v>0</v>
      </c>
      <c r="D69" s="64">
        <f t="shared" si="46"/>
        <v>0</v>
      </c>
      <c r="E69" s="64">
        <f t="shared" si="46"/>
        <v>0</v>
      </c>
      <c r="F69" s="64">
        <f t="shared" si="46"/>
        <v>0</v>
      </c>
      <c r="G69" s="64">
        <f t="shared" si="46"/>
        <v>0</v>
      </c>
      <c r="H69" s="64">
        <f t="shared" si="46"/>
        <v>0</v>
      </c>
    </row>
    <row r="70" spans="1:13" ht="14.25" hidden="1" customHeight="1">
      <c r="A70" s="64" t="str">
        <f t="shared" si="42"/>
        <v>Green Gram/ Moong</v>
      </c>
      <c r="B70" s="64">
        <f>H17*$B$65*0</f>
        <v>0</v>
      </c>
      <c r="C70" s="64">
        <f t="shared" ref="C70:H70" si="47">(B70/B$65)*C$65</f>
        <v>0</v>
      </c>
      <c r="D70" s="64">
        <f t="shared" si="47"/>
        <v>0</v>
      </c>
      <c r="E70" s="64">
        <f t="shared" si="47"/>
        <v>0</v>
      </c>
      <c r="F70" s="64">
        <f t="shared" si="47"/>
        <v>0</v>
      </c>
      <c r="G70" s="64">
        <f t="shared" si="47"/>
        <v>0</v>
      </c>
      <c r="H70" s="64">
        <f t="shared" si="47"/>
        <v>0</v>
      </c>
    </row>
    <row r="71" spans="1:13" ht="14.25" hidden="1" customHeight="1">
      <c r="A71" s="64" t="str">
        <f t="shared" si="42"/>
        <v>Maize</v>
      </c>
      <c r="B71" s="64">
        <f>H18*$B$65</f>
        <v>0</v>
      </c>
      <c r="C71" s="64">
        <f t="shared" ref="C71:H71" si="48">(B71/B$65)*C$65</f>
        <v>0</v>
      </c>
      <c r="D71" s="64">
        <f t="shared" si="48"/>
        <v>0</v>
      </c>
      <c r="E71" s="64">
        <f t="shared" si="48"/>
        <v>0</v>
      </c>
      <c r="F71" s="64">
        <f t="shared" si="48"/>
        <v>0</v>
      </c>
      <c r="G71" s="64">
        <f t="shared" si="48"/>
        <v>0</v>
      </c>
      <c r="H71" s="64">
        <f t="shared" si="48"/>
        <v>0</v>
      </c>
    </row>
    <row r="72" spans="1:13" ht="14.25" hidden="1" customHeight="1">
      <c r="A72" s="64" t="str">
        <f t="shared" si="42"/>
        <v>Black Gram/Udid</v>
      </c>
      <c r="B72" s="64">
        <f>H19*$B$65*0</f>
        <v>0</v>
      </c>
      <c r="C72" s="64">
        <f t="shared" ref="C72:H72" si="49">(B72/B$65)*C$65</f>
        <v>0</v>
      </c>
      <c r="D72" s="64">
        <f t="shared" si="49"/>
        <v>0</v>
      </c>
      <c r="E72" s="64">
        <f t="shared" si="49"/>
        <v>0</v>
      </c>
      <c r="F72" s="64">
        <f t="shared" si="49"/>
        <v>0</v>
      </c>
      <c r="G72" s="64">
        <f t="shared" si="49"/>
        <v>0</v>
      </c>
      <c r="H72" s="64">
        <f t="shared" si="49"/>
        <v>0</v>
      </c>
    </row>
    <row r="73" spans="1:13" ht="14.25" hidden="1" customHeight="1">
      <c r="A73" s="64" t="str">
        <f t="shared" si="42"/>
        <v>Bajra</v>
      </c>
      <c r="B73" s="64">
        <f t="shared" ref="B73:B75" si="50">H20*$B$65</f>
        <v>0</v>
      </c>
      <c r="C73" s="64">
        <f t="shared" ref="C73:H73" si="51">(B73/B$65)*C$65</f>
        <v>0</v>
      </c>
      <c r="D73" s="64">
        <f t="shared" si="51"/>
        <v>0</v>
      </c>
      <c r="E73" s="64">
        <f t="shared" si="51"/>
        <v>0</v>
      </c>
      <c r="F73" s="64">
        <f t="shared" si="51"/>
        <v>0</v>
      </c>
      <c r="G73" s="64">
        <f t="shared" si="51"/>
        <v>0</v>
      </c>
      <c r="H73" s="64">
        <f t="shared" si="51"/>
        <v>0</v>
      </c>
    </row>
    <row r="74" spans="1:13" ht="14.25" customHeight="1">
      <c r="A74" s="64" t="str">
        <f t="shared" si="42"/>
        <v>Jawar</v>
      </c>
      <c r="B74" s="64">
        <f t="shared" si="50"/>
        <v>3880.5</v>
      </c>
      <c r="C74" s="64">
        <f t="shared" ref="C74:H74" si="52">(B74/B$65)*C$65</f>
        <v>4527.25</v>
      </c>
      <c r="D74" s="64">
        <f t="shared" si="52"/>
        <v>5174</v>
      </c>
      <c r="E74" s="64">
        <f t="shared" si="52"/>
        <v>5820.75</v>
      </c>
      <c r="F74" s="64">
        <f t="shared" si="52"/>
        <v>6467.5</v>
      </c>
      <c r="G74" s="64">
        <f t="shared" si="52"/>
        <v>7114.25</v>
      </c>
      <c r="H74" s="64">
        <f t="shared" si="52"/>
        <v>7761.0000000000009</v>
      </c>
      <c r="I74" s="288"/>
      <c r="J74" s="288"/>
      <c r="K74" s="288"/>
      <c r="L74" s="288"/>
      <c r="M74" s="288"/>
    </row>
    <row r="75" spans="1:13" ht="14.25" hidden="1" customHeight="1">
      <c r="A75" s="64" t="str">
        <f t="shared" si="42"/>
        <v>Sunflower</v>
      </c>
      <c r="B75" s="64">
        <f t="shared" si="50"/>
        <v>0</v>
      </c>
      <c r="C75" s="64">
        <f t="shared" ref="C75:H75" si="53">(B75/B$65)*C$65</f>
        <v>0</v>
      </c>
      <c r="D75" s="64">
        <f t="shared" si="53"/>
        <v>0</v>
      </c>
      <c r="E75" s="64">
        <f t="shared" si="53"/>
        <v>0</v>
      </c>
      <c r="F75" s="64">
        <f t="shared" si="53"/>
        <v>0</v>
      </c>
      <c r="G75" s="64">
        <f t="shared" si="53"/>
        <v>0</v>
      </c>
      <c r="H75" s="64">
        <f t="shared" si="53"/>
        <v>0</v>
      </c>
    </row>
    <row r="76" spans="1:13" ht="14.25" customHeight="1">
      <c r="A76" s="64" t="str">
        <f t="shared" si="42"/>
        <v>Wheat</v>
      </c>
      <c r="B76" s="64">
        <f>H24*$B$65</f>
        <v>6537.8663999999999</v>
      </c>
      <c r="C76" s="64">
        <f t="shared" ref="C76:H76" si="54">(B76/B$65)*C$65</f>
        <v>7627.5107999999991</v>
      </c>
      <c r="D76" s="64">
        <f t="shared" si="54"/>
        <v>8717.1551999999992</v>
      </c>
      <c r="E76" s="64">
        <f t="shared" si="54"/>
        <v>9806.7995999999985</v>
      </c>
      <c r="F76" s="64">
        <f t="shared" si="54"/>
        <v>10896.443999999998</v>
      </c>
      <c r="G76" s="64">
        <f t="shared" si="54"/>
        <v>11986.088399999999</v>
      </c>
      <c r="H76" s="64">
        <f t="shared" si="54"/>
        <v>13075.7328</v>
      </c>
      <c r="I76" s="288"/>
      <c r="J76" s="288"/>
      <c r="K76" s="288"/>
      <c r="L76" s="288"/>
      <c r="M76" s="288"/>
    </row>
    <row r="77" spans="1:13" ht="14.25" customHeight="1">
      <c r="A77" s="64" t="str">
        <f t="shared" si="42"/>
        <v>Bengal Gram/Channa</v>
      </c>
      <c r="B77" s="64"/>
      <c r="C77" s="64">
        <f t="shared" ref="C77:H77" si="55">(B77/B$65)*C$65</f>
        <v>0</v>
      </c>
      <c r="D77" s="64">
        <f t="shared" si="55"/>
        <v>0</v>
      </c>
      <c r="E77" s="64">
        <f t="shared" si="55"/>
        <v>0</v>
      </c>
      <c r="F77" s="64">
        <f t="shared" si="55"/>
        <v>0</v>
      </c>
      <c r="G77" s="64">
        <f t="shared" si="55"/>
        <v>0</v>
      </c>
      <c r="H77" s="64">
        <f t="shared" si="55"/>
        <v>0</v>
      </c>
    </row>
    <row r="78" spans="1:13" ht="14.25" hidden="1" customHeight="1">
      <c r="A78" s="64" t="str">
        <f t="shared" si="42"/>
        <v>Jawar</v>
      </c>
      <c r="B78" s="64">
        <f t="shared" ref="B78:B83" si="56">H26*$B$65</f>
        <v>0</v>
      </c>
      <c r="C78" s="64">
        <f t="shared" ref="C78:H78" si="57">(B78/B$65)*C$65</f>
        <v>0</v>
      </c>
      <c r="D78" s="64">
        <f t="shared" si="57"/>
        <v>0</v>
      </c>
      <c r="E78" s="64">
        <f t="shared" si="57"/>
        <v>0</v>
      </c>
      <c r="F78" s="64">
        <f t="shared" si="57"/>
        <v>0</v>
      </c>
      <c r="G78" s="64">
        <f t="shared" si="57"/>
        <v>0</v>
      </c>
      <c r="H78" s="64">
        <f t="shared" si="57"/>
        <v>0</v>
      </c>
    </row>
    <row r="79" spans="1:13" ht="14.25" hidden="1" customHeight="1">
      <c r="A79" s="64" t="str">
        <f t="shared" si="42"/>
        <v>Maize</v>
      </c>
      <c r="B79" s="64">
        <f t="shared" si="56"/>
        <v>0</v>
      </c>
      <c r="C79" s="64">
        <f t="shared" ref="C79:H79" si="58">(B79/B$65)*C$65</f>
        <v>0</v>
      </c>
      <c r="D79" s="64">
        <f t="shared" si="58"/>
        <v>0</v>
      </c>
      <c r="E79" s="64">
        <f t="shared" si="58"/>
        <v>0</v>
      </c>
      <c r="F79" s="64">
        <f t="shared" si="58"/>
        <v>0</v>
      </c>
      <c r="G79" s="64">
        <f t="shared" si="58"/>
        <v>0</v>
      </c>
      <c r="H79" s="64">
        <f t="shared" si="58"/>
        <v>0</v>
      </c>
    </row>
    <row r="80" spans="1:13" ht="14.25" hidden="1" customHeight="1">
      <c r="A80" s="64" t="str">
        <f t="shared" si="42"/>
        <v>Safflower</v>
      </c>
      <c r="B80" s="64">
        <f t="shared" si="56"/>
        <v>0</v>
      </c>
      <c r="C80" s="64">
        <f t="shared" ref="C80:H80" si="59">(B80/B$65)*C$65</f>
        <v>0</v>
      </c>
      <c r="D80" s="64">
        <f t="shared" si="59"/>
        <v>0</v>
      </c>
      <c r="E80" s="64">
        <f t="shared" si="59"/>
        <v>0</v>
      </c>
      <c r="F80" s="64">
        <f t="shared" si="59"/>
        <v>0</v>
      </c>
      <c r="G80" s="64">
        <f t="shared" si="59"/>
        <v>0</v>
      </c>
      <c r="H80" s="64">
        <f t="shared" si="59"/>
        <v>0</v>
      </c>
    </row>
    <row r="81" spans="1:8" ht="14.25" hidden="1" customHeight="1">
      <c r="A81" s="64">
        <f t="shared" si="42"/>
        <v>0</v>
      </c>
      <c r="B81" s="64">
        <f t="shared" si="56"/>
        <v>0</v>
      </c>
      <c r="C81" s="64">
        <f t="shared" ref="C81:H81" si="60">(B81/B$65)*C$65</f>
        <v>0</v>
      </c>
      <c r="D81" s="64">
        <f t="shared" si="60"/>
        <v>0</v>
      </c>
      <c r="E81" s="64">
        <f t="shared" si="60"/>
        <v>0</v>
      </c>
      <c r="F81" s="64">
        <f t="shared" si="60"/>
        <v>0</v>
      </c>
      <c r="G81" s="64">
        <f t="shared" si="60"/>
        <v>0</v>
      </c>
      <c r="H81" s="64">
        <f t="shared" si="60"/>
        <v>0</v>
      </c>
    </row>
    <row r="82" spans="1:8" ht="14.25" hidden="1" customHeight="1">
      <c r="A82" s="64">
        <f t="shared" si="42"/>
        <v>0</v>
      </c>
      <c r="B82" s="64">
        <f t="shared" si="56"/>
        <v>0</v>
      </c>
      <c r="C82" s="64">
        <f t="shared" ref="C82:H82" si="61">(B82/B$65)*C$65</f>
        <v>0</v>
      </c>
      <c r="D82" s="64">
        <f t="shared" si="61"/>
        <v>0</v>
      </c>
      <c r="E82" s="64">
        <f t="shared" si="61"/>
        <v>0</v>
      </c>
      <c r="F82" s="64">
        <f t="shared" si="61"/>
        <v>0</v>
      </c>
      <c r="G82" s="64">
        <f t="shared" si="61"/>
        <v>0</v>
      </c>
      <c r="H82" s="64">
        <f t="shared" si="61"/>
        <v>0</v>
      </c>
    </row>
    <row r="83" spans="1:8" ht="14.25" hidden="1" customHeight="1">
      <c r="A83" s="64">
        <f t="shared" si="42"/>
        <v>0</v>
      </c>
      <c r="B83" s="64">
        <f t="shared" si="56"/>
        <v>0</v>
      </c>
      <c r="C83" s="64">
        <f t="shared" ref="C83:H83" si="62">(B83/B$65)*C$65</f>
        <v>0</v>
      </c>
      <c r="D83" s="64">
        <f t="shared" si="62"/>
        <v>0</v>
      </c>
      <c r="E83" s="64">
        <f t="shared" si="62"/>
        <v>0</v>
      </c>
      <c r="F83" s="64">
        <f t="shared" si="62"/>
        <v>0</v>
      </c>
      <c r="G83" s="64">
        <f t="shared" si="62"/>
        <v>0</v>
      </c>
      <c r="H83" s="64">
        <f t="shared" si="62"/>
        <v>0</v>
      </c>
    </row>
    <row r="84" spans="1:8" ht="14.25" hidden="1" customHeight="1">
      <c r="A84" s="64" t="str">
        <f t="shared" si="42"/>
        <v>Groundnut</v>
      </c>
      <c r="B84" s="64">
        <f t="shared" ref="B84:B87" si="63">H33*$B$65</f>
        <v>0</v>
      </c>
      <c r="C84" s="64">
        <f t="shared" ref="C84:H84" si="64">(B84/B$65)*C$65</f>
        <v>0</v>
      </c>
      <c r="D84" s="64">
        <f t="shared" si="64"/>
        <v>0</v>
      </c>
      <c r="E84" s="64">
        <f t="shared" si="64"/>
        <v>0</v>
      </c>
      <c r="F84" s="64">
        <f t="shared" si="64"/>
        <v>0</v>
      </c>
      <c r="G84" s="64">
        <f t="shared" si="64"/>
        <v>0</v>
      </c>
      <c r="H84" s="64">
        <f t="shared" si="64"/>
        <v>0</v>
      </c>
    </row>
    <row r="85" spans="1:8" ht="14.25" hidden="1" customHeight="1">
      <c r="A85" s="64">
        <f t="shared" si="42"/>
        <v>0</v>
      </c>
      <c r="B85" s="64">
        <f t="shared" si="63"/>
        <v>0</v>
      </c>
      <c r="C85" s="64">
        <f t="shared" ref="C85:H85" si="65">(B85/B$65)*C$65</f>
        <v>0</v>
      </c>
      <c r="D85" s="64">
        <f t="shared" si="65"/>
        <v>0</v>
      </c>
      <c r="E85" s="64">
        <f t="shared" si="65"/>
        <v>0</v>
      </c>
      <c r="F85" s="64">
        <f t="shared" si="65"/>
        <v>0</v>
      </c>
      <c r="G85" s="64">
        <f t="shared" si="65"/>
        <v>0</v>
      </c>
      <c r="H85" s="64">
        <f t="shared" si="65"/>
        <v>0</v>
      </c>
    </row>
    <row r="86" spans="1:8" ht="14.25" hidden="1" customHeight="1">
      <c r="A86" s="64">
        <f t="shared" si="42"/>
        <v>0</v>
      </c>
      <c r="B86" s="64">
        <f t="shared" si="63"/>
        <v>0</v>
      </c>
      <c r="C86" s="64">
        <f t="shared" ref="C86:H86" si="66">(B86/B$65)*C$65</f>
        <v>0</v>
      </c>
      <c r="D86" s="64">
        <f t="shared" si="66"/>
        <v>0</v>
      </c>
      <c r="E86" s="64">
        <f t="shared" si="66"/>
        <v>0</v>
      </c>
      <c r="F86" s="64">
        <f t="shared" si="66"/>
        <v>0</v>
      </c>
      <c r="G86" s="64">
        <f t="shared" si="66"/>
        <v>0</v>
      </c>
      <c r="H86" s="64">
        <f t="shared" si="66"/>
        <v>0</v>
      </c>
    </row>
    <row r="87" spans="1:8" ht="14.25" hidden="1" customHeight="1">
      <c r="A87" s="64">
        <f t="shared" si="42"/>
        <v>0</v>
      </c>
      <c r="B87" s="64">
        <f t="shared" si="63"/>
        <v>0</v>
      </c>
      <c r="C87" s="64">
        <f t="shared" ref="C87:H87" si="67">(B87/B$65)*C$65</f>
        <v>0</v>
      </c>
      <c r="D87" s="64">
        <f t="shared" si="67"/>
        <v>0</v>
      </c>
      <c r="E87" s="64">
        <f t="shared" si="67"/>
        <v>0</v>
      </c>
      <c r="F87" s="64">
        <f t="shared" si="67"/>
        <v>0</v>
      </c>
      <c r="G87" s="64">
        <f t="shared" si="67"/>
        <v>0</v>
      </c>
      <c r="H87" s="64">
        <f t="shared" si="67"/>
        <v>0</v>
      </c>
    </row>
    <row r="88" spans="1:8" ht="14.25" customHeight="1"/>
    <row r="89" spans="1:8" ht="14.25" customHeight="1">
      <c r="A89" s="413" t="s">
        <v>584</v>
      </c>
      <c r="B89" s="347"/>
      <c r="C89" s="347"/>
      <c r="D89" s="347"/>
      <c r="E89" s="347"/>
      <c r="F89" s="347"/>
      <c r="G89" s="347"/>
      <c r="H89" s="348"/>
    </row>
    <row r="90" spans="1:8" ht="14.25" customHeight="1">
      <c r="A90" s="412" t="s">
        <v>201</v>
      </c>
      <c r="B90" s="282">
        <v>0.65</v>
      </c>
      <c r="C90" s="290">
        <f t="shared" ref="C90:H90" si="68">B90+0.05</f>
        <v>0.70000000000000007</v>
      </c>
      <c r="D90" s="290">
        <f t="shared" si="68"/>
        <v>0.75000000000000011</v>
      </c>
      <c r="E90" s="290">
        <f t="shared" si="68"/>
        <v>0.80000000000000016</v>
      </c>
      <c r="F90" s="290">
        <f t="shared" si="68"/>
        <v>0.8500000000000002</v>
      </c>
      <c r="G90" s="290">
        <f t="shared" si="68"/>
        <v>0.90000000000000024</v>
      </c>
      <c r="H90" s="290">
        <f t="shared" si="68"/>
        <v>0.95000000000000029</v>
      </c>
    </row>
    <row r="91" spans="1:8" ht="14.25" customHeight="1">
      <c r="A91" s="351"/>
      <c r="B91" s="272" t="s">
        <v>204</v>
      </c>
      <c r="C91" s="272" t="s">
        <v>205</v>
      </c>
      <c r="D91" s="272" t="s">
        <v>206</v>
      </c>
      <c r="E91" s="272" t="s">
        <v>207</v>
      </c>
      <c r="F91" s="272" t="s">
        <v>208</v>
      </c>
      <c r="G91" s="272" t="s">
        <v>209</v>
      </c>
      <c r="H91" s="272" t="s">
        <v>210</v>
      </c>
    </row>
    <row r="92" spans="1:8" ht="14.25" customHeight="1">
      <c r="A92" s="64" t="str">
        <f t="shared" ref="A92:A112" si="69">A67</f>
        <v>Soybean</v>
      </c>
      <c r="B92" s="64">
        <f t="shared" ref="B92:B93" si="70">D14*$B$90*0</f>
        <v>0</v>
      </c>
      <c r="C92" s="64">
        <f t="shared" ref="C92:H92" si="71">(B92/B$90)*C$90</f>
        <v>0</v>
      </c>
      <c r="D92" s="64">
        <f t="shared" si="71"/>
        <v>0</v>
      </c>
      <c r="E92" s="64">
        <f t="shared" si="71"/>
        <v>0</v>
      </c>
      <c r="F92" s="64">
        <f t="shared" si="71"/>
        <v>0</v>
      </c>
      <c r="G92" s="64">
        <f t="shared" si="71"/>
        <v>0</v>
      </c>
      <c r="H92" s="64">
        <f t="shared" si="71"/>
        <v>0</v>
      </c>
    </row>
    <row r="93" spans="1:8" ht="14.25" customHeight="1">
      <c r="A93" s="64" t="str">
        <f t="shared" si="69"/>
        <v>Red Gram/Tur</v>
      </c>
      <c r="B93" s="64">
        <f t="shared" si="70"/>
        <v>0</v>
      </c>
      <c r="C93" s="64">
        <f t="shared" ref="C93:C113" si="72">(B93/B$90)*C$90</f>
        <v>0</v>
      </c>
      <c r="D93" s="64">
        <f t="shared" ref="D93:H93" si="73">(C93/C90)*D90</f>
        <v>0</v>
      </c>
      <c r="E93" s="64">
        <f t="shared" si="73"/>
        <v>0</v>
      </c>
      <c r="F93" s="64">
        <f t="shared" si="73"/>
        <v>0</v>
      </c>
      <c r="G93" s="64">
        <f t="shared" si="73"/>
        <v>0</v>
      </c>
      <c r="H93" s="64">
        <f t="shared" si="73"/>
        <v>0</v>
      </c>
    </row>
    <row r="94" spans="1:8" ht="14.25" customHeight="1">
      <c r="A94" s="64" t="str">
        <f t="shared" si="69"/>
        <v>Paddy/Rice</v>
      </c>
      <c r="B94" s="64">
        <f>D16*$B$90</f>
        <v>0</v>
      </c>
      <c r="C94" s="64">
        <f t="shared" si="72"/>
        <v>0</v>
      </c>
      <c r="D94" s="64">
        <f t="shared" ref="D94:H94" si="74">(C94/C$90)*D$90</f>
        <v>0</v>
      </c>
      <c r="E94" s="64">
        <f t="shared" si="74"/>
        <v>0</v>
      </c>
      <c r="F94" s="64">
        <f t="shared" si="74"/>
        <v>0</v>
      </c>
      <c r="G94" s="64">
        <f t="shared" si="74"/>
        <v>0</v>
      </c>
      <c r="H94" s="64">
        <f t="shared" si="74"/>
        <v>0</v>
      </c>
    </row>
    <row r="95" spans="1:8" ht="14.25" customHeight="1">
      <c r="A95" s="64" t="str">
        <f t="shared" si="69"/>
        <v>Green Gram/ Moong</v>
      </c>
      <c r="B95" s="64">
        <f>D17*$B$90*0</f>
        <v>0</v>
      </c>
      <c r="C95" s="64">
        <f t="shared" si="72"/>
        <v>0</v>
      </c>
      <c r="D95" s="64">
        <f t="shared" ref="D95:H95" si="75">(C95/C$90)*D$90</f>
        <v>0</v>
      </c>
      <c r="E95" s="64">
        <f t="shared" si="75"/>
        <v>0</v>
      </c>
      <c r="F95" s="64">
        <f t="shared" si="75"/>
        <v>0</v>
      </c>
      <c r="G95" s="64">
        <f t="shared" si="75"/>
        <v>0</v>
      </c>
      <c r="H95" s="64">
        <f t="shared" si="75"/>
        <v>0</v>
      </c>
    </row>
    <row r="96" spans="1:8" ht="14.25" customHeight="1">
      <c r="A96" s="64" t="str">
        <f t="shared" si="69"/>
        <v>Maize</v>
      </c>
      <c r="B96" s="64">
        <f>D18*$B$90</f>
        <v>0</v>
      </c>
      <c r="C96" s="64">
        <f t="shared" si="72"/>
        <v>0</v>
      </c>
      <c r="D96" s="64">
        <f t="shared" ref="D96:H96" si="76">(C96/C$90)*D$90</f>
        <v>0</v>
      </c>
      <c r="E96" s="64">
        <f t="shared" si="76"/>
        <v>0</v>
      </c>
      <c r="F96" s="64">
        <f t="shared" si="76"/>
        <v>0</v>
      </c>
      <c r="G96" s="64">
        <f t="shared" si="76"/>
        <v>0</v>
      </c>
      <c r="H96" s="64">
        <f t="shared" si="76"/>
        <v>0</v>
      </c>
    </row>
    <row r="97" spans="1:8" ht="14.25" customHeight="1">
      <c r="A97" s="64" t="str">
        <f t="shared" si="69"/>
        <v>Black Gram/Udid</v>
      </c>
      <c r="B97" s="64">
        <f>D19*$B$90*0</f>
        <v>0</v>
      </c>
      <c r="C97" s="64">
        <f t="shared" si="72"/>
        <v>0</v>
      </c>
      <c r="D97" s="64">
        <f t="shared" ref="D97:H97" si="77">(C97/C$90)*D$90</f>
        <v>0</v>
      </c>
      <c r="E97" s="64">
        <f t="shared" si="77"/>
        <v>0</v>
      </c>
      <c r="F97" s="64">
        <f t="shared" si="77"/>
        <v>0</v>
      </c>
      <c r="G97" s="64">
        <f t="shared" si="77"/>
        <v>0</v>
      </c>
      <c r="H97" s="64">
        <f t="shared" si="77"/>
        <v>0</v>
      </c>
    </row>
    <row r="98" spans="1:8" ht="14.25" customHeight="1">
      <c r="A98" s="64" t="str">
        <f t="shared" si="69"/>
        <v>Bajra</v>
      </c>
      <c r="B98" s="64">
        <f>D20*$B$90</f>
        <v>0</v>
      </c>
      <c r="C98" s="64">
        <f t="shared" si="72"/>
        <v>0</v>
      </c>
      <c r="D98" s="64">
        <f t="shared" ref="D98:H98" si="78">(C98/C$90)*D$90</f>
        <v>0</v>
      </c>
      <c r="E98" s="64">
        <f t="shared" si="78"/>
        <v>0</v>
      </c>
      <c r="F98" s="64">
        <f t="shared" si="78"/>
        <v>0</v>
      </c>
      <c r="G98" s="64">
        <f t="shared" si="78"/>
        <v>0</v>
      </c>
      <c r="H98" s="64">
        <f t="shared" si="78"/>
        <v>0</v>
      </c>
    </row>
    <row r="99" spans="1:8" ht="14.25" customHeight="1">
      <c r="A99" s="64" t="str">
        <f t="shared" si="69"/>
        <v>Jawar</v>
      </c>
      <c r="B99" s="64">
        <f>D21*$B$90*0</f>
        <v>0</v>
      </c>
      <c r="C99" s="64">
        <f t="shared" si="72"/>
        <v>0</v>
      </c>
      <c r="D99" s="64">
        <f t="shared" ref="D99:H99" si="79">(C99/C$90)*D$90</f>
        <v>0</v>
      </c>
      <c r="E99" s="64">
        <f t="shared" si="79"/>
        <v>0</v>
      </c>
      <c r="F99" s="64">
        <f t="shared" si="79"/>
        <v>0</v>
      </c>
      <c r="G99" s="64">
        <f t="shared" si="79"/>
        <v>0</v>
      </c>
      <c r="H99" s="64">
        <f t="shared" si="79"/>
        <v>0</v>
      </c>
    </row>
    <row r="100" spans="1:8" ht="14.25" customHeight="1">
      <c r="A100" s="64" t="str">
        <f t="shared" si="69"/>
        <v>Sunflower</v>
      </c>
      <c r="B100" s="64">
        <f>D22*$B$90</f>
        <v>0</v>
      </c>
      <c r="C100" s="64">
        <f t="shared" si="72"/>
        <v>0</v>
      </c>
      <c r="D100" s="64">
        <f t="shared" ref="D100:H100" si="80">(C100/C$90)*D$90</f>
        <v>0</v>
      </c>
      <c r="E100" s="64">
        <f t="shared" si="80"/>
        <v>0</v>
      </c>
      <c r="F100" s="64">
        <f t="shared" si="80"/>
        <v>0</v>
      </c>
      <c r="G100" s="64">
        <f t="shared" si="80"/>
        <v>0</v>
      </c>
      <c r="H100" s="64">
        <f t="shared" si="80"/>
        <v>0</v>
      </c>
    </row>
    <row r="101" spans="1:8" ht="14.25" customHeight="1">
      <c r="A101" s="64" t="str">
        <f t="shared" si="69"/>
        <v>Wheat</v>
      </c>
      <c r="B101" s="64">
        <f t="shared" ref="B101:B102" si="81">D24*$B$90*0</f>
        <v>0</v>
      </c>
      <c r="C101" s="64">
        <f t="shared" si="72"/>
        <v>0</v>
      </c>
      <c r="D101" s="64">
        <f t="shared" ref="D101:H101" si="82">(C101/C$90)*D$90</f>
        <v>0</v>
      </c>
      <c r="E101" s="64">
        <f t="shared" si="82"/>
        <v>0</v>
      </c>
      <c r="F101" s="64">
        <f t="shared" si="82"/>
        <v>0</v>
      </c>
      <c r="G101" s="64">
        <f t="shared" si="82"/>
        <v>0</v>
      </c>
      <c r="H101" s="64">
        <f t="shared" si="82"/>
        <v>0</v>
      </c>
    </row>
    <row r="102" spans="1:8" ht="14.25" customHeight="1">
      <c r="A102" s="64" t="str">
        <f t="shared" si="69"/>
        <v>Bengal Gram/Channa</v>
      </c>
      <c r="B102" s="64">
        <f t="shared" si="81"/>
        <v>0</v>
      </c>
      <c r="C102" s="64">
        <f t="shared" si="72"/>
        <v>0</v>
      </c>
      <c r="D102" s="64">
        <f t="shared" ref="D102:H102" si="83">(C102/C$90)*D$90</f>
        <v>0</v>
      </c>
      <c r="E102" s="64">
        <f t="shared" si="83"/>
        <v>0</v>
      </c>
      <c r="F102" s="64">
        <f t="shared" si="83"/>
        <v>0</v>
      </c>
      <c r="G102" s="64">
        <f t="shared" si="83"/>
        <v>0</v>
      </c>
      <c r="H102" s="64">
        <f t="shared" si="83"/>
        <v>0</v>
      </c>
    </row>
    <row r="103" spans="1:8" ht="14.25" customHeight="1">
      <c r="A103" s="64" t="str">
        <f t="shared" si="69"/>
        <v>Jawar</v>
      </c>
      <c r="B103" s="64">
        <f t="shared" ref="B103:B108" si="84">D26*$B$90</f>
        <v>0</v>
      </c>
      <c r="C103" s="64">
        <f t="shared" si="72"/>
        <v>0</v>
      </c>
      <c r="D103" s="64">
        <f t="shared" ref="D103:H103" si="85">(C103/C$90)*D$90</f>
        <v>0</v>
      </c>
      <c r="E103" s="64">
        <f t="shared" si="85"/>
        <v>0</v>
      </c>
      <c r="F103" s="64">
        <f t="shared" si="85"/>
        <v>0</v>
      </c>
      <c r="G103" s="64">
        <f t="shared" si="85"/>
        <v>0</v>
      </c>
      <c r="H103" s="64">
        <f t="shared" si="85"/>
        <v>0</v>
      </c>
    </row>
    <row r="104" spans="1:8" ht="14.25" customHeight="1">
      <c r="A104" s="64" t="str">
        <f t="shared" si="69"/>
        <v>Maize</v>
      </c>
      <c r="B104" s="64">
        <f t="shared" si="84"/>
        <v>0</v>
      </c>
      <c r="C104" s="64">
        <f t="shared" si="72"/>
        <v>0</v>
      </c>
      <c r="D104" s="64">
        <f t="shared" ref="D104:H104" si="86">(C104/C$90)*D$90</f>
        <v>0</v>
      </c>
      <c r="E104" s="64">
        <f t="shared" si="86"/>
        <v>0</v>
      </c>
      <c r="F104" s="64">
        <f t="shared" si="86"/>
        <v>0</v>
      </c>
      <c r="G104" s="64">
        <f t="shared" si="86"/>
        <v>0</v>
      </c>
      <c r="H104" s="64">
        <f t="shared" si="86"/>
        <v>0</v>
      </c>
    </row>
    <row r="105" spans="1:8" ht="14.25" customHeight="1">
      <c r="A105" s="64" t="str">
        <f t="shared" si="69"/>
        <v>Safflower</v>
      </c>
      <c r="B105" s="64">
        <f t="shared" si="84"/>
        <v>0</v>
      </c>
      <c r="C105" s="64">
        <f t="shared" si="72"/>
        <v>0</v>
      </c>
      <c r="D105" s="64">
        <f t="shared" ref="D105:H105" si="87">(C105/C$90)*D$90</f>
        <v>0</v>
      </c>
      <c r="E105" s="64">
        <f t="shared" si="87"/>
        <v>0</v>
      </c>
      <c r="F105" s="64">
        <f t="shared" si="87"/>
        <v>0</v>
      </c>
      <c r="G105" s="64">
        <f t="shared" si="87"/>
        <v>0</v>
      </c>
      <c r="H105" s="64">
        <f t="shared" si="87"/>
        <v>0</v>
      </c>
    </row>
    <row r="106" spans="1:8" ht="14.25" customHeight="1">
      <c r="A106" s="64">
        <f t="shared" si="69"/>
        <v>0</v>
      </c>
      <c r="B106" s="64">
        <f t="shared" si="84"/>
        <v>0</v>
      </c>
      <c r="C106" s="64">
        <f t="shared" si="72"/>
        <v>0</v>
      </c>
      <c r="D106" s="64">
        <f t="shared" ref="D106:H106" si="88">(C106/C$90)*D$90</f>
        <v>0</v>
      </c>
      <c r="E106" s="64">
        <f t="shared" si="88"/>
        <v>0</v>
      </c>
      <c r="F106" s="64">
        <f t="shared" si="88"/>
        <v>0</v>
      </c>
      <c r="G106" s="64">
        <f t="shared" si="88"/>
        <v>0</v>
      </c>
      <c r="H106" s="64">
        <f t="shared" si="88"/>
        <v>0</v>
      </c>
    </row>
    <row r="107" spans="1:8" ht="14.25" customHeight="1">
      <c r="A107" s="64">
        <f t="shared" si="69"/>
        <v>0</v>
      </c>
      <c r="B107" s="64">
        <f t="shared" si="84"/>
        <v>0</v>
      </c>
      <c r="C107" s="64">
        <f t="shared" si="72"/>
        <v>0</v>
      </c>
      <c r="D107" s="64">
        <f t="shared" ref="D107:H107" si="89">(C107/C$90)*D$90</f>
        <v>0</v>
      </c>
      <c r="E107" s="64">
        <f t="shared" si="89"/>
        <v>0</v>
      </c>
      <c r="F107" s="64">
        <f t="shared" si="89"/>
        <v>0</v>
      </c>
      <c r="G107" s="64">
        <f t="shared" si="89"/>
        <v>0</v>
      </c>
      <c r="H107" s="64">
        <f t="shared" si="89"/>
        <v>0</v>
      </c>
    </row>
    <row r="108" spans="1:8" ht="14.25" customHeight="1">
      <c r="A108" s="64">
        <f t="shared" si="69"/>
        <v>0</v>
      </c>
      <c r="B108" s="64">
        <f t="shared" si="84"/>
        <v>0</v>
      </c>
      <c r="C108" s="64">
        <f t="shared" si="72"/>
        <v>0</v>
      </c>
      <c r="D108" s="64">
        <f t="shared" ref="D108:H108" si="90">(C108/C$90)*D$90</f>
        <v>0</v>
      </c>
      <c r="E108" s="64">
        <f t="shared" si="90"/>
        <v>0</v>
      </c>
      <c r="F108" s="64">
        <f t="shared" si="90"/>
        <v>0</v>
      </c>
      <c r="G108" s="64">
        <f t="shared" si="90"/>
        <v>0</v>
      </c>
      <c r="H108" s="64">
        <f t="shared" si="90"/>
        <v>0</v>
      </c>
    </row>
    <row r="109" spans="1:8" ht="14.25" customHeight="1">
      <c r="A109" s="64" t="str">
        <f t="shared" si="69"/>
        <v>Groundnut</v>
      </c>
      <c r="B109" s="64">
        <f t="shared" ref="B109:B110" si="91">D33*$B$90</f>
        <v>0</v>
      </c>
      <c r="C109" s="64">
        <f t="shared" si="72"/>
        <v>0</v>
      </c>
      <c r="D109" s="64">
        <f t="shared" ref="D109:H109" si="92">(C109/C$90)*D$90</f>
        <v>0</v>
      </c>
      <c r="E109" s="64">
        <f t="shared" si="92"/>
        <v>0</v>
      </c>
      <c r="F109" s="64">
        <f t="shared" si="92"/>
        <v>0</v>
      </c>
      <c r="G109" s="64">
        <f t="shared" si="92"/>
        <v>0</v>
      </c>
      <c r="H109" s="64">
        <f t="shared" si="92"/>
        <v>0</v>
      </c>
    </row>
    <row r="110" spans="1:8" ht="14.25" customHeight="1">
      <c r="A110" s="64">
        <f t="shared" si="69"/>
        <v>0</v>
      </c>
      <c r="B110" s="64">
        <f t="shared" si="91"/>
        <v>0</v>
      </c>
      <c r="C110" s="64">
        <f t="shared" si="72"/>
        <v>0</v>
      </c>
      <c r="D110" s="64">
        <f t="shared" ref="D110:H110" si="93">(C110/C$90)*D$90</f>
        <v>0</v>
      </c>
      <c r="E110" s="64">
        <f t="shared" si="93"/>
        <v>0</v>
      </c>
      <c r="F110" s="64">
        <f t="shared" si="93"/>
        <v>0</v>
      </c>
      <c r="G110" s="64">
        <f t="shared" si="93"/>
        <v>0</v>
      </c>
      <c r="H110" s="64">
        <f t="shared" si="93"/>
        <v>0</v>
      </c>
    </row>
    <row r="111" spans="1:8" ht="14.25" customHeight="1">
      <c r="A111" s="64">
        <f t="shared" si="69"/>
        <v>0</v>
      </c>
      <c r="B111" s="64">
        <f>D34*$B$90</f>
        <v>0</v>
      </c>
      <c r="C111" s="64">
        <f t="shared" si="72"/>
        <v>0</v>
      </c>
      <c r="D111" s="64">
        <f t="shared" ref="D111:H111" si="94">(C111/C$90)*D$90</f>
        <v>0</v>
      </c>
      <c r="E111" s="64">
        <f t="shared" si="94"/>
        <v>0</v>
      </c>
      <c r="F111" s="64">
        <f t="shared" si="94"/>
        <v>0</v>
      </c>
      <c r="G111" s="64">
        <f t="shared" si="94"/>
        <v>0</v>
      </c>
      <c r="H111" s="64">
        <f t="shared" si="94"/>
        <v>0</v>
      </c>
    </row>
    <row r="112" spans="1:8" ht="14.25" customHeight="1">
      <c r="A112" s="64">
        <f t="shared" si="69"/>
        <v>0</v>
      </c>
      <c r="B112" s="64">
        <f t="shared" ref="B112:B113" si="95">D36*$B$90</f>
        <v>0</v>
      </c>
      <c r="C112" s="64">
        <f t="shared" si="72"/>
        <v>0</v>
      </c>
      <c r="D112" s="64">
        <f t="shared" ref="D112:H112" si="96">(C112/C$90)*D$90</f>
        <v>0</v>
      </c>
      <c r="E112" s="64">
        <f t="shared" si="96"/>
        <v>0</v>
      </c>
      <c r="F112" s="64">
        <f t="shared" si="96"/>
        <v>0</v>
      </c>
      <c r="G112" s="64">
        <f t="shared" si="96"/>
        <v>0</v>
      </c>
      <c r="H112" s="64">
        <f t="shared" si="96"/>
        <v>0</v>
      </c>
    </row>
    <row r="113" spans="1:9" ht="14.25" customHeight="1">
      <c r="A113" s="64"/>
      <c r="B113" s="64">
        <f t="shared" si="95"/>
        <v>0</v>
      </c>
      <c r="C113" s="64">
        <f t="shared" si="72"/>
        <v>0</v>
      </c>
      <c r="D113" s="64">
        <f t="shared" ref="D113:H113" si="97">(C113/C$90)*D$90</f>
        <v>0</v>
      </c>
      <c r="E113" s="64">
        <f t="shared" si="97"/>
        <v>0</v>
      </c>
      <c r="F113" s="64">
        <f t="shared" si="97"/>
        <v>0</v>
      </c>
      <c r="G113" s="64">
        <f t="shared" si="97"/>
        <v>0</v>
      </c>
      <c r="H113" s="64">
        <f t="shared" si="97"/>
        <v>0</v>
      </c>
    </row>
    <row r="114" spans="1:9" ht="14.25" customHeight="1"/>
    <row r="115" spans="1:9" ht="14.25" customHeight="1">
      <c r="C115" s="189"/>
      <c r="D115" s="241"/>
      <c r="E115" s="241"/>
      <c r="F115" s="241"/>
      <c r="G115" s="241"/>
      <c r="H115" s="241"/>
      <c r="I115" s="241"/>
    </row>
    <row r="116" spans="1:9" ht="14.25" customHeight="1">
      <c r="A116" t="s">
        <v>585</v>
      </c>
      <c r="C116" s="54"/>
      <c r="D116" s="54"/>
      <c r="E116" s="54"/>
      <c r="F116" s="54"/>
      <c r="G116" s="54"/>
      <c r="H116" s="54"/>
      <c r="I116" s="54"/>
    </row>
    <row r="117" spans="1:9" ht="14.25" customHeight="1">
      <c r="A117">
        <v>1</v>
      </c>
      <c r="B117" t="s">
        <v>586</v>
      </c>
    </row>
    <row r="118" spans="1:9" ht="14.25" customHeight="1">
      <c r="A118">
        <v>2</v>
      </c>
      <c r="B118" t="s">
        <v>587</v>
      </c>
    </row>
    <row r="119" spans="1:9" ht="14.25" customHeight="1">
      <c r="A119">
        <v>3</v>
      </c>
      <c r="B119" t="s">
        <v>588</v>
      </c>
    </row>
  </sheetData>
  <mergeCells count="12">
    <mergeCell ref="A40:A41"/>
    <mergeCell ref="A64:H64"/>
    <mergeCell ref="A90:A91"/>
    <mergeCell ref="A89:H89"/>
    <mergeCell ref="A1:H1"/>
    <mergeCell ref="A3:B3"/>
    <mergeCell ref="A11:H11"/>
    <mergeCell ref="A37:H37"/>
    <mergeCell ref="A14:A22"/>
    <mergeCell ref="A39:H39"/>
    <mergeCell ref="A65:A66"/>
    <mergeCell ref="A24:A31"/>
  </mergeCells>
  <pageMargins left="0.7" right="0.7" top="0.75" bottom="0.75" header="0" footer="0"/>
  <pageSetup scale="93"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32"/>
  <sheetViews>
    <sheetView workbookViewId="0"/>
  </sheetViews>
  <sheetFormatPr defaultColWidth="14.42578125" defaultRowHeight="15" customHeight="1"/>
  <cols>
    <col min="1" max="1" width="44.28515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4.25" customHeight="1">
      <c r="A1" s="359" t="s">
        <v>589</v>
      </c>
      <c r="B1" s="360"/>
      <c r="C1" s="360"/>
      <c r="D1" s="360"/>
      <c r="E1" s="360"/>
      <c r="F1" s="360"/>
      <c r="G1" s="360"/>
      <c r="H1" s="360"/>
    </row>
    <row r="2" spans="1:26" ht="14.25" customHeight="1">
      <c r="B2" s="189"/>
    </row>
    <row r="3" spans="1:26" ht="14.25" customHeight="1">
      <c r="A3" s="414" t="s">
        <v>590</v>
      </c>
      <c r="B3" s="356"/>
    </row>
    <row r="4" spans="1:26" ht="14.25" customHeight="1">
      <c r="A4" s="141" t="s">
        <v>201</v>
      </c>
      <c r="B4" s="272" t="s">
        <v>212</v>
      </c>
      <c r="C4" s="30"/>
      <c r="D4" s="30"/>
      <c r="E4" s="30"/>
      <c r="F4" s="30"/>
      <c r="G4" s="30"/>
      <c r="H4" s="30"/>
    </row>
    <row r="5" spans="1:26" ht="14.25" customHeight="1">
      <c r="A5" s="64" t="s">
        <v>591</v>
      </c>
      <c r="B5" s="273"/>
      <c r="D5" s="274"/>
      <c r="E5" s="274"/>
      <c r="F5" s="274"/>
      <c r="G5" s="274"/>
      <c r="H5" s="274"/>
    </row>
    <row r="6" spans="1:26" ht="14.25" customHeight="1">
      <c r="A6" s="64" t="s">
        <v>592</v>
      </c>
      <c r="B6" s="273"/>
      <c r="D6" s="274"/>
      <c r="E6" s="274"/>
      <c r="F6" s="274"/>
      <c r="G6" s="274"/>
      <c r="H6" s="274"/>
    </row>
    <row r="7" spans="1:26" ht="14.25" customHeight="1">
      <c r="A7" s="68" t="s">
        <v>87</v>
      </c>
      <c r="B7" s="68">
        <f>B5+B6</f>
        <v>0</v>
      </c>
      <c r="C7" s="100"/>
      <c r="D7" s="275"/>
      <c r="E7" s="275"/>
      <c r="F7" s="275"/>
      <c r="G7" s="275"/>
      <c r="H7" s="275"/>
    </row>
    <row r="8" spans="1:26" ht="14.25" customHeight="1">
      <c r="A8" s="68" t="s">
        <v>593</v>
      </c>
      <c r="B8" s="291">
        <v>1</v>
      </c>
      <c r="C8" s="100"/>
      <c r="D8" s="100"/>
      <c r="E8" s="100"/>
      <c r="F8" s="100"/>
      <c r="G8" s="100"/>
      <c r="H8" s="100"/>
    </row>
    <row r="9" spans="1:26" ht="14.25" customHeight="1">
      <c r="A9" s="68" t="s">
        <v>594</v>
      </c>
      <c r="B9" s="68">
        <f>B7*B8</f>
        <v>0</v>
      </c>
      <c r="C9" s="275"/>
      <c r="D9" s="275"/>
      <c r="E9" s="275"/>
      <c r="F9" s="275"/>
      <c r="G9" s="275"/>
      <c r="H9" s="275"/>
    </row>
    <row r="10" spans="1:26" ht="14.25" customHeight="1">
      <c r="J10" t="s">
        <v>550</v>
      </c>
      <c r="O10" t="s">
        <v>551</v>
      </c>
      <c r="U10" t="s">
        <v>16</v>
      </c>
      <c r="Y10" t="s">
        <v>552</v>
      </c>
      <c r="Z10" t="s">
        <v>553</v>
      </c>
    </row>
    <row r="11" spans="1:26" ht="14.25" customHeight="1">
      <c r="A11" s="359" t="s">
        <v>595</v>
      </c>
      <c r="B11" s="360"/>
      <c r="C11" s="360"/>
      <c r="D11" s="360"/>
      <c r="E11" s="360"/>
      <c r="F11" s="360"/>
      <c r="G11" s="360"/>
      <c r="H11" s="360"/>
      <c r="I11" s="100"/>
      <c r="J11" s="100"/>
      <c r="K11" s="100"/>
      <c r="L11" s="100"/>
      <c r="M11" s="100"/>
      <c r="N11" s="100"/>
      <c r="O11" s="100"/>
      <c r="P11" s="100"/>
    </row>
    <row r="12" spans="1:26" ht="14.25" customHeight="1">
      <c r="J12" s="189">
        <v>0.65</v>
      </c>
      <c r="K12" s="277">
        <f t="shared" ref="K12:N12" si="0">J12+0.05</f>
        <v>0.70000000000000007</v>
      </c>
      <c r="L12" s="277">
        <f t="shared" si="0"/>
        <v>0.75000000000000011</v>
      </c>
      <c r="M12" s="277">
        <f t="shared" si="0"/>
        <v>0.80000000000000016</v>
      </c>
      <c r="N12" s="277">
        <f t="shared" si="0"/>
        <v>0.8500000000000002</v>
      </c>
      <c r="O12" s="189">
        <v>0.4</v>
      </c>
      <c r="P12" s="189">
        <f t="shared" ref="P12:T12" si="1">O12+0.05</f>
        <v>0.45</v>
      </c>
      <c r="Q12" s="189">
        <f t="shared" si="1"/>
        <v>0.5</v>
      </c>
      <c r="R12" s="189">
        <f t="shared" si="1"/>
        <v>0.55000000000000004</v>
      </c>
      <c r="S12" s="189">
        <f t="shared" si="1"/>
        <v>0.60000000000000009</v>
      </c>
      <c r="T12" s="189">
        <f t="shared" si="1"/>
        <v>0.65000000000000013</v>
      </c>
      <c r="U12" s="189">
        <v>0.1</v>
      </c>
      <c r="V12" s="241">
        <f t="shared" ref="V12:X12" si="2">U12+0.05</f>
        <v>0.15000000000000002</v>
      </c>
      <c r="W12" s="241">
        <f t="shared" si="2"/>
        <v>0.2</v>
      </c>
      <c r="X12" s="241">
        <f t="shared" si="2"/>
        <v>0.25</v>
      </c>
    </row>
    <row r="13" spans="1:26" ht="14.25" customHeight="1">
      <c r="A13" s="141" t="s">
        <v>555</v>
      </c>
      <c r="B13" s="141" t="s">
        <v>556</v>
      </c>
      <c r="C13" s="278" t="s">
        <v>557</v>
      </c>
      <c r="D13" s="278" t="s">
        <v>558</v>
      </c>
      <c r="E13" s="278" t="s">
        <v>559</v>
      </c>
      <c r="F13" s="278" t="s">
        <v>560</v>
      </c>
      <c r="G13" s="278" t="s">
        <v>561</v>
      </c>
      <c r="H13" s="278" t="s">
        <v>562</v>
      </c>
      <c r="O13" s="279" t="s">
        <v>204</v>
      </c>
      <c r="P13" s="279" t="s">
        <v>205</v>
      </c>
      <c r="Q13" s="279" t="s">
        <v>206</v>
      </c>
      <c r="R13" s="279" t="s">
        <v>207</v>
      </c>
      <c r="S13" s="279" t="s">
        <v>208</v>
      </c>
      <c r="T13" s="279" t="s">
        <v>204</v>
      </c>
      <c r="U13" s="279" t="s">
        <v>205</v>
      </c>
      <c r="V13" s="279" t="s">
        <v>206</v>
      </c>
      <c r="W13" s="279" t="s">
        <v>207</v>
      </c>
      <c r="X13" s="279" t="s">
        <v>208</v>
      </c>
    </row>
    <row r="14" spans="1:26" ht="14.25" customHeight="1">
      <c r="A14" s="416" t="s">
        <v>563</v>
      </c>
      <c r="B14" s="273" t="s">
        <v>596</v>
      </c>
      <c r="C14" s="280">
        <v>0</v>
      </c>
      <c r="D14" s="64">
        <f t="shared" ref="D14:D22" si="3">$B$9*C14</f>
        <v>0</v>
      </c>
      <c r="E14" s="283">
        <v>15</v>
      </c>
      <c r="F14" s="64">
        <f t="shared" ref="F14:F22" si="4">D14*E14</f>
        <v>0</v>
      </c>
      <c r="G14" s="282">
        <v>0.1</v>
      </c>
      <c r="H14" s="64">
        <f t="shared" ref="H14:H22" si="5">(F14-F14*G14)</f>
        <v>0</v>
      </c>
      <c r="J14">
        <f t="shared" ref="J14:N14" si="6">$D$14*J12</f>
        <v>0</v>
      </c>
      <c r="K14">
        <f t="shared" si="6"/>
        <v>0</v>
      </c>
      <c r="L14">
        <f t="shared" si="6"/>
        <v>0</v>
      </c>
      <c r="M14">
        <f t="shared" si="6"/>
        <v>0</v>
      </c>
      <c r="N14">
        <f t="shared" si="6"/>
        <v>0</v>
      </c>
    </row>
    <row r="15" spans="1:26" ht="14.25" customHeight="1">
      <c r="A15" s="350"/>
      <c r="B15" s="273" t="s">
        <v>597</v>
      </c>
      <c r="C15" s="280">
        <v>0.1</v>
      </c>
      <c r="D15" s="64">
        <f t="shared" si="3"/>
        <v>0</v>
      </c>
      <c r="E15" s="283">
        <v>7</v>
      </c>
      <c r="F15" s="64">
        <f t="shared" si="4"/>
        <v>0</v>
      </c>
      <c r="G15" s="282">
        <v>0.05</v>
      </c>
      <c r="H15" s="64">
        <f t="shared" si="5"/>
        <v>0</v>
      </c>
    </row>
    <row r="16" spans="1:26" ht="14.25" customHeight="1">
      <c r="A16" s="350"/>
      <c r="B16" s="273" t="s">
        <v>598</v>
      </c>
      <c r="C16" s="280">
        <v>0</v>
      </c>
      <c r="D16" s="64">
        <f t="shared" si="3"/>
        <v>0</v>
      </c>
      <c r="E16" s="283">
        <v>4</v>
      </c>
      <c r="F16" s="64">
        <f t="shared" si="4"/>
        <v>0</v>
      </c>
      <c r="G16" s="282">
        <v>0</v>
      </c>
      <c r="H16" s="64">
        <f t="shared" si="5"/>
        <v>0</v>
      </c>
    </row>
    <row r="17" spans="1:8" ht="14.25" customHeight="1">
      <c r="A17" s="350"/>
      <c r="B17" s="273" t="s">
        <v>599</v>
      </c>
      <c r="C17" s="280">
        <v>0.05</v>
      </c>
      <c r="D17" s="64">
        <f t="shared" si="3"/>
        <v>0</v>
      </c>
      <c r="E17" s="283">
        <v>7</v>
      </c>
      <c r="F17" s="64">
        <f t="shared" si="4"/>
        <v>0</v>
      </c>
      <c r="G17" s="282">
        <v>0.02</v>
      </c>
      <c r="H17" s="64">
        <f t="shared" si="5"/>
        <v>0</v>
      </c>
    </row>
    <row r="18" spans="1:8" ht="14.25" customHeight="1">
      <c r="A18" s="350"/>
      <c r="B18" s="273" t="s">
        <v>600</v>
      </c>
      <c r="C18" s="280">
        <v>0</v>
      </c>
      <c r="D18" s="64">
        <f t="shared" si="3"/>
        <v>0</v>
      </c>
      <c r="E18" s="283">
        <v>20</v>
      </c>
      <c r="F18" s="64">
        <f t="shared" si="4"/>
        <v>0</v>
      </c>
      <c r="G18" s="282">
        <v>0</v>
      </c>
      <c r="H18" s="64">
        <f t="shared" si="5"/>
        <v>0</v>
      </c>
    </row>
    <row r="19" spans="1:8" ht="14.25" customHeight="1">
      <c r="A19" s="350"/>
      <c r="B19" s="273"/>
      <c r="C19" s="280">
        <v>0</v>
      </c>
      <c r="D19" s="64">
        <f t="shared" si="3"/>
        <v>0</v>
      </c>
      <c r="E19" s="283">
        <v>7</v>
      </c>
      <c r="F19" s="64">
        <f t="shared" si="4"/>
        <v>0</v>
      </c>
      <c r="G19" s="282">
        <v>0.1</v>
      </c>
      <c r="H19" s="64">
        <f t="shared" si="5"/>
        <v>0</v>
      </c>
    </row>
    <row r="20" spans="1:8" ht="14.25" customHeight="1">
      <c r="A20" s="350"/>
      <c r="B20" s="273"/>
      <c r="C20" s="280">
        <v>0</v>
      </c>
      <c r="D20" s="64">
        <f t="shared" si="3"/>
        <v>0</v>
      </c>
      <c r="E20" s="283">
        <v>6</v>
      </c>
      <c r="F20" s="64">
        <f t="shared" si="4"/>
        <v>0</v>
      </c>
      <c r="G20" s="282">
        <v>0.02</v>
      </c>
      <c r="H20" s="64">
        <f t="shared" si="5"/>
        <v>0</v>
      </c>
    </row>
    <row r="21" spans="1:8" ht="14.25" customHeight="1">
      <c r="A21" s="350"/>
      <c r="B21" s="273"/>
      <c r="C21" s="280">
        <v>0</v>
      </c>
      <c r="D21" s="64">
        <f t="shared" si="3"/>
        <v>0</v>
      </c>
      <c r="E21" s="283"/>
      <c r="F21" s="64">
        <f t="shared" si="4"/>
        <v>0</v>
      </c>
      <c r="G21" s="282">
        <v>0</v>
      </c>
      <c r="H21" s="64">
        <f t="shared" si="5"/>
        <v>0</v>
      </c>
    </row>
    <row r="22" spans="1:8" ht="14.25" customHeight="1">
      <c r="A22" s="351"/>
      <c r="B22" s="273"/>
      <c r="C22" s="280">
        <v>0</v>
      </c>
      <c r="D22" s="64">
        <f t="shared" si="3"/>
        <v>0</v>
      </c>
      <c r="E22" s="283"/>
      <c r="F22" s="64">
        <f t="shared" si="4"/>
        <v>0</v>
      </c>
      <c r="G22" s="282">
        <v>0</v>
      </c>
      <c r="H22" s="64">
        <f t="shared" si="5"/>
        <v>0</v>
      </c>
    </row>
    <row r="23" spans="1:8" ht="14.25" customHeight="1">
      <c r="A23" s="292" t="s">
        <v>601</v>
      </c>
      <c r="B23" s="280">
        <v>0</v>
      </c>
      <c r="C23" s="273">
        <f>B9*B23</f>
        <v>0</v>
      </c>
      <c r="D23" s="64"/>
      <c r="E23" s="283"/>
      <c r="F23" s="64"/>
      <c r="G23" s="282"/>
      <c r="H23" s="64"/>
    </row>
    <row r="24" spans="1:8" ht="14.25" customHeight="1">
      <c r="A24" s="416" t="s">
        <v>574</v>
      </c>
      <c r="B24" s="273" t="s">
        <v>596</v>
      </c>
      <c r="C24" s="280">
        <v>0</v>
      </c>
      <c r="D24" s="64">
        <f t="shared" ref="D24:D31" si="7">C$23*C24</f>
        <v>0</v>
      </c>
      <c r="E24" s="283">
        <v>10</v>
      </c>
      <c r="F24" s="64">
        <f t="shared" ref="F24:F31" si="8">D24*E24</f>
        <v>0</v>
      </c>
      <c r="G24" s="282">
        <v>0.1</v>
      </c>
      <c r="H24" s="64">
        <f t="shared" ref="H24:H31" si="9">(F24-F24*G24)</f>
        <v>0</v>
      </c>
    </row>
    <row r="25" spans="1:8" ht="14.25" customHeight="1">
      <c r="A25" s="350"/>
      <c r="B25" s="273" t="s">
        <v>597</v>
      </c>
      <c r="C25" s="280">
        <v>0.1</v>
      </c>
      <c r="D25" s="64">
        <f t="shared" si="7"/>
        <v>0</v>
      </c>
      <c r="E25" s="283">
        <v>10</v>
      </c>
      <c r="F25" s="64">
        <f t="shared" si="8"/>
        <v>0</v>
      </c>
      <c r="G25" s="282">
        <v>0.1</v>
      </c>
      <c r="H25" s="64">
        <f t="shared" si="9"/>
        <v>0</v>
      </c>
    </row>
    <row r="26" spans="1:8" ht="14.25" customHeight="1">
      <c r="A26" s="350"/>
      <c r="B26" s="273" t="s">
        <v>598</v>
      </c>
      <c r="C26" s="280">
        <v>0</v>
      </c>
      <c r="D26" s="64">
        <f t="shared" si="7"/>
        <v>0</v>
      </c>
      <c r="E26" s="283">
        <v>10</v>
      </c>
      <c r="F26" s="64">
        <f t="shared" si="8"/>
        <v>0</v>
      </c>
      <c r="G26" s="282">
        <v>0.05</v>
      </c>
      <c r="H26" s="64">
        <f t="shared" si="9"/>
        <v>0</v>
      </c>
    </row>
    <row r="27" spans="1:8" ht="14.25" customHeight="1">
      <c r="A27" s="350"/>
      <c r="B27" s="273" t="s">
        <v>599</v>
      </c>
      <c r="C27" s="280">
        <v>0</v>
      </c>
      <c r="D27" s="64">
        <f t="shared" si="7"/>
        <v>0</v>
      </c>
      <c r="E27" s="283">
        <v>20</v>
      </c>
      <c r="F27" s="64">
        <f t="shared" si="8"/>
        <v>0</v>
      </c>
      <c r="G27" s="282">
        <v>0</v>
      </c>
      <c r="H27" s="64">
        <f t="shared" si="9"/>
        <v>0</v>
      </c>
    </row>
    <row r="28" spans="1:8" ht="14.25" customHeight="1">
      <c r="A28" s="350"/>
      <c r="B28" s="273" t="s">
        <v>602</v>
      </c>
      <c r="C28" s="280">
        <v>0</v>
      </c>
      <c r="D28" s="64">
        <f t="shared" si="7"/>
        <v>0</v>
      </c>
      <c r="E28" s="283"/>
      <c r="F28" s="64">
        <f t="shared" si="8"/>
        <v>0</v>
      </c>
      <c r="G28" s="282">
        <v>0</v>
      </c>
      <c r="H28" s="64">
        <f t="shared" si="9"/>
        <v>0</v>
      </c>
    </row>
    <row r="29" spans="1:8" ht="14.25" customHeight="1">
      <c r="A29" s="350"/>
      <c r="B29" s="273"/>
      <c r="C29" s="280">
        <v>0</v>
      </c>
      <c r="D29" s="64">
        <f t="shared" si="7"/>
        <v>0</v>
      </c>
      <c r="E29" s="283"/>
      <c r="F29" s="64">
        <f t="shared" si="8"/>
        <v>0</v>
      </c>
      <c r="G29" s="282">
        <v>0</v>
      </c>
      <c r="H29" s="64">
        <f t="shared" si="9"/>
        <v>0</v>
      </c>
    </row>
    <row r="30" spans="1:8" ht="14.25" customHeight="1">
      <c r="A30" s="350"/>
      <c r="B30" s="273"/>
      <c r="C30" s="280">
        <v>0</v>
      </c>
      <c r="D30" s="64">
        <f t="shared" si="7"/>
        <v>0</v>
      </c>
      <c r="E30" s="283"/>
      <c r="F30" s="64">
        <f t="shared" si="8"/>
        <v>0</v>
      </c>
      <c r="G30" s="282">
        <v>0</v>
      </c>
      <c r="H30" s="64">
        <f t="shared" si="9"/>
        <v>0</v>
      </c>
    </row>
    <row r="31" spans="1:8" ht="14.25" customHeight="1">
      <c r="A31" s="351"/>
      <c r="B31" s="273"/>
      <c r="C31" s="280">
        <v>0</v>
      </c>
      <c r="D31" s="64">
        <f t="shared" si="7"/>
        <v>0</v>
      </c>
      <c r="E31" s="283"/>
      <c r="F31" s="64">
        <f t="shared" si="8"/>
        <v>0</v>
      </c>
      <c r="G31" s="282">
        <v>0</v>
      </c>
      <c r="H31" s="64">
        <f t="shared" si="9"/>
        <v>0</v>
      </c>
    </row>
    <row r="32" spans="1:8" ht="14.25" customHeight="1">
      <c r="A32" s="292" t="s">
        <v>603</v>
      </c>
      <c r="B32" s="280">
        <v>0</v>
      </c>
      <c r="C32" s="273">
        <f>B9*B32</f>
        <v>0</v>
      </c>
      <c r="D32" s="64"/>
      <c r="E32" s="283"/>
      <c r="F32" s="64"/>
      <c r="G32" s="282"/>
      <c r="H32" s="64"/>
    </row>
    <row r="33" spans="1:8" ht="14.25" customHeight="1">
      <c r="A33" s="285" t="s">
        <v>579</v>
      </c>
      <c r="B33" s="273"/>
      <c r="C33" s="280">
        <v>0</v>
      </c>
      <c r="D33" s="64">
        <f t="shared" ref="D33:D36" si="10">C$32*C33</f>
        <v>0</v>
      </c>
      <c r="E33" s="283"/>
      <c r="F33" s="64">
        <f t="shared" ref="F33:F40" si="11">D33*E33</f>
        <v>0</v>
      </c>
      <c r="G33" s="282">
        <v>0</v>
      </c>
      <c r="H33" s="64">
        <f t="shared" ref="H33:H40" si="12">(F33-F33*G33)</f>
        <v>0</v>
      </c>
    </row>
    <row r="34" spans="1:8" ht="14.25" customHeight="1">
      <c r="A34" s="8"/>
      <c r="B34" s="273"/>
      <c r="C34" s="280">
        <v>0</v>
      </c>
      <c r="D34" s="64">
        <f t="shared" si="10"/>
        <v>0</v>
      </c>
      <c r="E34" s="283"/>
      <c r="F34" s="64">
        <f t="shared" si="11"/>
        <v>0</v>
      </c>
      <c r="G34" s="282">
        <v>0</v>
      </c>
      <c r="H34" s="64">
        <f t="shared" si="12"/>
        <v>0</v>
      </c>
    </row>
    <row r="35" spans="1:8" ht="14.25" customHeight="1">
      <c r="A35" s="8"/>
      <c r="B35" s="273"/>
      <c r="C35" s="280">
        <v>0</v>
      </c>
      <c r="D35" s="64">
        <f t="shared" si="10"/>
        <v>0</v>
      </c>
      <c r="E35" s="283"/>
      <c r="F35" s="64">
        <f t="shared" si="11"/>
        <v>0</v>
      </c>
      <c r="G35" s="282">
        <v>0</v>
      </c>
      <c r="H35" s="64">
        <f t="shared" si="12"/>
        <v>0</v>
      </c>
    </row>
    <row r="36" spans="1:8" ht="14.25" customHeight="1">
      <c r="A36" s="286"/>
      <c r="B36" s="273"/>
      <c r="C36" s="280">
        <v>0</v>
      </c>
      <c r="D36" s="64">
        <f t="shared" si="10"/>
        <v>0</v>
      </c>
      <c r="E36" s="283"/>
      <c r="F36" s="64">
        <f t="shared" si="11"/>
        <v>0</v>
      </c>
      <c r="G36" s="282">
        <v>0</v>
      </c>
      <c r="H36" s="64">
        <f t="shared" si="12"/>
        <v>0</v>
      </c>
    </row>
    <row r="37" spans="1:8" ht="14.25" customHeight="1">
      <c r="A37" s="419" t="s">
        <v>604</v>
      </c>
      <c r="B37" s="273" t="s">
        <v>374</v>
      </c>
      <c r="C37" s="280">
        <v>0.5</v>
      </c>
      <c r="D37" s="64">
        <f t="shared" ref="D37:D40" si="13">$B$9*C37</f>
        <v>0</v>
      </c>
      <c r="E37" s="283">
        <v>6</v>
      </c>
      <c r="F37" s="64">
        <f t="shared" si="11"/>
        <v>0</v>
      </c>
      <c r="G37" s="282">
        <v>0.05</v>
      </c>
      <c r="H37" s="64">
        <f t="shared" si="12"/>
        <v>0</v>
      </c>
    </row>
    <row r="38" spans="1:8" ht="14.25" customHeight="1">
      <c r="A38" s="350"/>
      <c r="B38" s="273" t="s">
        <v>605</v>
      </c>
      <c r="C38" s="280">
        <v>0</v>
      </c>
      <c r="D38" s="64">
        <f t="shared" si="13"/>
        <v>0</v>
      </c>
      <c r="E38" s="283"/>
      <c r="F38" s="64">
        <f t="shared" si="11"/>
        <v>0</v>
      </c>
      <c r="G38" s="282">
        <v>0</v>
      </c>
      <c r="H38" s="64">
        <f t="shared" si="12"/>
        <v>0</v>
      </c>
    </row>
    <row r="39" spans="1:8" ht="14.25" customHeight="1">
      <c r="A39" s="350"/>
      <c r="B39" s="273" t="s">
        <v>606</v>
      </c>
      <c r="C39" s="280">
        <v>0</v>
      </c>
      <c r="D39" s="64">
        <f t="shared" si="13"/>
        <v>0</v>
      </c>
      <c r="E39" s="283"/>
      <c r="F39" s="64">
        <f t="shared" si="11"/>
        <v>0</v>
      </c>
      <c r="G39" s="282">
        <v>0</v>
      </c>
      <c r="H39" s="64">
        <f t="shared" si="12"/>
        <v>0</v>
      </c>
    </row>
    <row r="40" spans="1:8" ht="14.25" customHeight="1">
      <c r="A40" s="351"/>
      <c r="B40" s="273" t="s">
        <v>607</v>
      </c>
      <c r="C40" s="280">
        <v>0</v>
      </c>
      <c r="D40" s="64">
        <f t="shared" si="13"/>
        <v>0</v>
      </c>
      <c r="E40" s="283"/>
      <c r="F40" s="64">
        <f t="shared" si="11"/>
        <v>0</v>
      </c>
      <c r="G40" s="282">
        <v>0</v>
      </c>
      <c r="H40" s="64">
        <f t="shared" si="12"/>
        <v>0</v>
      </c>
    </row>
    <row r="41" spans="1:8" ht="14.25" customHeight="1">
      <c r="A41" s="415" t="s">
        <v>581</v>
      </c>
      <c r="B41" s="360"/>
      <c r="C41" s="360"/>
      <c r="D41" s="360"/>
      <c r="E41" s="360"/>
      <c r="F41" s="360"/>
      <c r="G41" s="360"/>
      <c r="H41" s="360"/>
    </row>
    <row r="42" spans="1:8" ht="14.25" customHeight="1"/>
    <row r="43" spans="1:8" ht="14.25" customHeight="1">
      <c r="A43" s="417" t="s">
        <v>608</v>
      </c>
      <c r="B43" s="347"/>
      <c r="C43" s="347"/>
      <c r="D43" s="347"/>
      <c r="E43" s="347"/>
      <c r="F43" s="347"/>
      <c r="G43" s="347"/>
      <c r="H43" s="348"/>
    </row>
    <row r="44" spans="1:8" ht="14.25" customHeight="1">
      <c r="A44" s="410" t="s">
        <v>201</v>
      </c>
      <c r="B44" s="287">
        <v>0.35</v>
      </c>
      <c r="C44" s="287">
        <f t="shared" ref="C44:H44" si="14">B44+0.05</f>
        <v>0.39999999999999997</v>
      </c>
      <c r="D44" s="287">
        <f t="shared" si="14"/>
        <v>0.44999999999999996</v>
      </c>
      <c r="E44" s="287">
        <f t="shared" si="14"/>
        <v>0.49999999999999994</v>
      </c>
      <c r="F44" s="287">
        <f t="shared" si="14"/>
        <v>0.54999999999999993</v>
      </c>
      <c r="G44" s="287">
        <f t="shared" si="14"/>
        <v>0.6</v>
      </c>
      <c r="H44" s="287">
        <f t="shared" si="14"/>
        <v>0.65</v>
      </c>
    </row>
    <row r="45" spans="1:8" ht="14.25" customHeight="1">
      <c r="A45" s="351"/>
      <c r="B45" s="272" t="s">
        <v>204</v>
      </c>
      <c r="C45" s="272" t="s">
        <v>205</v>
      </c>
      <c r="D45" s="272" t="s">
        <v>206</v>
      </c>
      <c r="E45" s="272" t="s">
        <v>207</v>
      </c>
      <c r="F45" s="272" t="s">
        <v>208</v>
      </c>
      <c r="G45" s="272" t="s">
        <v>209</v>
      </c>
      <c r="H45" s="272" t="s">
        <v>210</v>
      </c>
    </row>
    <row r="46" spans="1:8" ht="14.25" customHeight="1">
      <c r="A46" s="64" t="str">
        <f t="shared" ref="A46:A54" si="15">B14</f>
        <v>Onion</v>
      </c>
      <c r="B46" s="64">
        <f t="shared" ref="B46:B54" si="16">H14*$B$44</f>
        <v>0</v>
      </c>
      <c r="C46" s="64">
        <f t="shared" ref="C46:H46" si="17">(B46/B$44)*C$44</f>
        <v>0</v>
      </c>
      <c r="D46" s="64">
        <f t="shared" si="17"/>
        <v>0</v>
      </c>
      <c r="E46" s="64">
        <f t="shared" si="17"/>
        <v>0</v>
      </c>
      <c r="F46" s="64">
        <f t="shared" si="17"/>
        <v>0</v>
      </c>
      <c r="G46" s="64">
        <f t="shared" si="17"/>
        <v>0</v>
      </c>
      <c r="H46" s="64">
        <f t="shared" si="17"/>
        <v>0</v>
      </c>
    </row>
    <row r="47" spans="1:8" ht="14.25" customHeight="1">
      <c r="A47" s="64" t="str">
        <f t="shared" si="15"/>
        <v>Tomato</v>
      </c>
      <c r="B47" s="64">
        <f t="shared" si="16"/>
        <v>0</v>
      </c>
      <c r="C47" s="64">
        <f t="shared" ref="C47:H47" si="18">(B47/B$44)*C$44</f>
        <v>0</v>
      </c>
      <c r="D47" s="64">
        <f t="shared" si="18"/>
        <v>0</v>
      </c>
      <c r="E47" s="64">
        <f t="shared" si="18"/>
        <v>0</v>
      </c>
      <c r="F47" s="64">
        <f t="shared" si="18"/>
        <v>0</v>
      </c>
      <c r="G47" s="64">
        <f t="shared" si="18"/>
        <v>0</v>
      </c>
      <c r="H47" s="64">
        <f t="shared" si="18"/>
        <v>0</v>
      </c>
    </row>
    <row r="48" spans="1:8" ht="14.25" customHeight="1">
      <c r="A48" s="64" t="str">
        <f t="shared" si="15"/>
        <v>Okra</v>
      </c>
      <c r="B48" s="64">
        <f t="shared" si="16"/>
        <v>0</v>
      </c>
      <c r="C48" s="64">
        <f t="shared" ref="C48:H48" si="19">(B48/B$44)*C$44</f>
        <v>0</v>
      </c>
      <c r="D48" s="64">
        <f t="shared" si="19"/>
        <v>0</v>
      </c>
      <c r="E48" s="64">
        <f t="shared" si="19"/>
        <v>0</v>
      </c>
      <c r="F48" s="64">
        <f t="shared" si="19"/>
        <v>0</v>
      </c>
      <c r="G48" s="64">
        <f t="shared" si="19"/>
        <v>0</v>
      </c>
      <c r="H48" s="64">
        <f t="shared" si="19"/>
        <v>0</v>
      </c>
    </row>
    <row r="49" spans="1:8" ht="14.25" customHeight="1">
      <c r="A49" s="64" t="str">
        <f t="shared" si="15"/>
        <v>Chilli</v>
      </c>
      <c r="B49" s="64">
        <f t="shared" si="16"/>
        <v>0</v>
      </c>
      <c r="C49" s="64">
        <f t="shared" ref="C49:H49" si="20">(B49/B$44)*C$44</f>
        <v>0</v>
      </c>
      <c r="D49" s="64">
        <f t="shared" si="20"/>
        <v>0</v>
      </c>
      <c r="E49" s="64">
        <f t="shared" si="20"/>
        <v>0</v>
      </c>
      <c r="F49" s="64">
        <f t="shared" si="20"/>
        <v>0</v>
      </c>
      <c r="G49" s="64">
        <f t="shared" si="20"/>
        <v>0</v>
      </c>
      <c r="H49" s="64">
        <f t="shared" si="20"/>
        <v>0</v>
      </c>
    </row>
    <row r="50" spans="1:8" ht="14.25" customHeight="1">
      <c r="A50" s="64" t="str">
        <f t="shared" si="15"/>
        <v>Potato</v>
      </c>
      <c r="B50" s="64">
        <f t="shared" si="16"/>
        <v>0</v>
      </c>
      <c r="C50" s="64">
        <f t="shared" ref="C50:H50" si="21">(B50/B$44)*C$44</f>
        <v>0</v>
      </c>
      <c r="D50" s="64">
        <f t="shared" si="21"/>
        <v>0</v>
      </c>
      <c r="E50" s="64">
        <f t="shared" si="21"/>
        <v>0</v>
      </c>
      <c r="F50" s="64">
        <f t="shared" si="21"/>
        <v>0</v>
      </c>
      <c r="G50" s="64">
        <f t="shared" si="21"/>
        <v>0</v>
      </c>
      <c r="H50" s="64">
        <f t="shared" si="21"/>
        <v>0</v>
      </c>
    </row>
    <row r="51" spans="1:8" ht="14.25" customHeight="1">
      <c r="A51" s="64">
        <f t="shared" si="15"/>
        <v>0</v>
      </c>
      <c r="B51" s="64">
        <f t="shared" si="16"/>
        <v>0</v>
      </c>
      <c r="C51" s="64">
        <f t="shared" ref="C51:H51" si="22">(B51/B$44)*C$44</f>
        <v>0</v>
      </c>
      <c r="D51" s="64">
        <f t="shared" si="22"/>
        <v>0</v>
      </c>
      <c r="E51" s="64">
        <f t="shared" si="22"/>
        <v>0</v>
      </c>
      <c r="F51" s="64">
        <f t="shared" si="22"/>
        <v>0</v>
      </c>
      <c r="G51" s="64">
        <f t="shared" si="22"/>
        <v>0</v>
      </c>
      <c r="H51" s="64">
        <f t="shared" si="22"/>
        <v>0</v>
      </c>
    </row>
    <row r="52" spans="1:8" ht="14.25" customHeight="1">
      <c r="A52" s="64">
        <f t="shared" si="15"/>
        <v>0</v>
      </c>
      <c r="B52" s="64">
        <f t="shared" si="16"/>
        <v>0</v>
      </c>
      <c r="C52" s="64">
        <f t="shared" ref="C52:H52" si="23">(B52/B$44)*C$44</f>
        <v>0</v>
      </c>
      <c r="D52" s="64">
        <f t="shared" si="23"/>
        <v>0</v>
      </c>
      <c r="E52" s="64">
        <f t="shared" si="23"/>
        <v>0</v>
      </c>
      <c r="F52" s="64">
        <f t="shared" si="23"/>
        <v>0</v>
      </c>
      <c r="G52" s="64">
        <f t="shared" si="23"/>
        <v>0</v>
      </c>
      <c r="H52" s="64">
        <f t="shared" si="23"/>
        <v>0</v>
      </c>
    </row>
    <row r="53" spans="1:8" ht="14.25" customHeight="1">
      <c r="A53" s="64">
        <f t="shared" si="15"/>
        <v>0</v>
      </c>
      <c r="B53" s="64">
        <f t="shared" si="16"/>
        <v>0</v>
      </c>
      <c r="C53" s="64">
        <f t="shared" ref="C53:H53" si="24">(B53/B$44)*C$44</f>
        <v>0</v>
      </c>
      <c r="D53" s="64">
        <f t="shared" si="24"/>
        <v>0</v>
      </c>
      <c r="E53" s="64">
        <f t="shared" si="24"/>
        <v>0</v>
      </c>
      <c r="F53" s="64">
        <f t="shared" si="24"/>
        <v>0</v>
      </c>
      <c r="G53" s="64">
        <f t="shared" si="24"/>
        <v>0</v>
      </c>
      <c r="H53" s="64">
        <f t="shared" si="24"/>
        <v>0</v>
      </c>
    </row>
    <row r="54" spans="1:8" ht="14.25" customHeight="1">
      <c r="A54" s="64">
        <f t="shared" si="15"/>
        <v>0</v>
      </c>
      <c r="B54" s="64">
        <f t="shared" si="16"/>
        <v>0</v>
      </c>
      <c r="C54" s="64">
        <f t="shared" ref="C54:H54" si="25">(B54/B$44)*C$44</f>
        <v>0</v>
      </c>
      <c r="D54" s="64">
        <f t="shared" si="25"/>
        <v>0</v>
      </c>
      <c r="E54" s="64">
        <f t="shared" si="25"/>
        <v>0</v>
      </c>
      <c r="F54" s="64">
        <f t="shared" si="25"/>
        <v>0</v>
      </c>
      <c r="G54" s="64">
        <f t="shared" si="25"/>
        <v>0</v>
      </c>
      <c r="H54" s="64">
        <f t="shared" si="25"/>
        <v>0</v>
      </c>
    </row>
    <row r="55" spans="1:8" ht="14.25" customHeight="1">
      <c r="A55" s="64" t="str">
        <f t="shared" ref="A55:A62" si="26">B24</f>
        <v>Onion</v>
      </c>
      <c r="B55" s="64">
        <f t="shared" ref="B55:B62" si="27">H24*$B$44</f>
        <v>0</v>
      </c>
      <c r="C55" s="64">
        <f t="shared" ref="C55:H55" si="28">(B55/B$44)*C$44</f>
        <v>0</v>
      </c>
      <c r="D55" s="64">
        <f t="shared" si="28"/>
        <v>0</v>
      </c>
      <c r="E55" s="64">
        <f t="shared" si="28"/>
        <v>0</v>
      </c>
      <c r="F55" s="64">
        <f t="shared" si="28"/>
        <v>0</v>
      </c>
      <c r="G55" s="64">
        <f t="shared" si="28"/>
        <v>0</v>
      </c>
      <c r="H55" s="64">
        <f t="shared" si="28"/>
        <v>0</v>
      </c>
    </row>
    <row r="56" spans="1:8" ht="14.25" customHeight="1">
      <c r="A56" s="64" t="str">
        <f t="shared" si="26"/>
        <v>Tomato</v>
      </c>
      <c r="B56" s="64">
        <f t="shared" si="27"/>
        <v>0</v>
      </c>
      <c r="C56" s="64">
        <f t="shared" ref="C56:H56" si="29">(B56/B$44)*C$44</f>
        <v>0</v>
      </c>
      <c r="D56" s="64">
        <f t="shared" si="29"/>
        <v>0</v>
      </c>
      <c r="E56" s="64">
        <f t="shared" si="29"/>
        <v>0</v>
      </c>
      <c r="F56" s="64">
        <f t="shared" si="29"/>
        <v>0</v>
      </c>
      <c r="G56" s="64">
        <f t="shared" si="29"/>
        <v>0</v>
      </c>
      <c r="H56" s="64">
        <f t="shared" si="29"/>
        <v>0</v>
      </c>
    </row>
    <row r="57" spans="1:8" ht="14.25" customHeight="1">
      <c r="A57" s="64" t="str">
        <f t="shared" si="26"/>
        <v>Okra</v>
      </c>
      <c r="B57" s="64">
        <f t="shared" si="27"/>
        <v>0</v>
      </c>
      <c r="C57" s="64">
        <f t="shared" ref="C57:H57" si="30">(B57/B$44)*C$44</f>
        <v>0</v>
      </c>
      <c r="D57" s="64">
        <f t="shared" si="30"/>
        <v>0</v>
      </c>
      <c r="E57" s="64">
        <f t="shared" si="30"/>
        <v>0</v>
      </c>
      <c r="F57" s="64">
        <f t="shared" si="30"/>
        <v>0</v>
      </c>
      <c r="G57" s="64">
        <f t="shared" si="30"/>
        <v>0</v>
      </c>
      <c r="H57" s="64">
        <f t="shared" si="30"/>
        <v>0</v>
      </c>
    </row>
    <row r="58" spans="1:8" ht="14.25" customHeight="1">
      <c r="A58" s="64" t="str">
        <f t="shared" si="26"/>
        <v>Chilli</v>
      </c>
      <c r="B58" s="64">
        <f t="shared" si="27"/>
        <v>0</v>
      </c>
      <c r="C58" s="64">
        <f t="shared" ref="C58:H58" si="31">(B58/B$44)*C$44</f>
        <v>0</v>
      </c>
      <c r="D58" s="64">
        <f t="shared" si="31"/>
        <v>0</v>
      </c>
      <c r="E58" s="64">
        <f t="shared" si="31"/>
        <v>0</v>
      </c>
      <c r="F58" s="64">
        <f t="shared" si="31"/>
        <v>0</v>
      </c>
      <c r="G58" s="64">
        <f t="shared" si="31"/>
        <v>0</v>
      </c>
      <c r="H58" s="64">
        <f t="shared" si="31"/>
        <v>0</v>
      </c>
    </row>
    <row r="59" spans="1:8" ht="14.25" customHeight="1">
      <c r="A59" s="64" t="str">
        <f t="shared" si="26"/>
        <v>Brinjal</v>
      </c>
      <c r="B59" s="64">
        <f t="shared" si="27"/>
        <v>0</v>
      </c>
      <c r="C59" s="64">
        <f t="shared" ref="C59:H59" si="32">(B59/B$44)*C$44</f>
        <v>0</v>
      </c>
      <c r="D59" s="64">
        <f t="shared" si="32"/>
        <v>0</v>
      </c>
      <c r="E59" s="64">
        <f t="shared" si="32"/>
        <v>0</v>
      </c>
      <c r="F59" s="64">
        <f t="shared" si="32"/>
        <v>0</v>
      </c>
      <c r="G59" s="64">
        <f t="shared" si="32"/>
        <v>0</v>
      </c>
      <c r="H59" s="64">
        <f t="shared" si="32"/>
        <v>0</v>
      </c>
    </row>
    <row r="60" spans="1:8" ht="14.25" customHeight="1">
      <c r="A60" s="64">
        <f t="shared" si="26"/>
        <v>0</v>
      </c>
      <c r="B60" s="64">
        <f t="shared" si="27"/>
        <v>0</v>
      </c>
      <c r="C60" s="64">
        <f t="shared" ref="C60:H60" si="33">(B60/B$44)*C$44</f>
        <v>0</v>
      </c>
      <c r="D60" s="64">
        <f t="shared" si="33"/>
        <v>0</v>
      </c>
      <c r="E60" s="64">
        <f t="shared" si="33"/>
        <v>0</v>
      </c>
      <c r="F60" s="64">
        <f t="shared" si="33"/>
        <v>0</v>
      </c>
      <c r="G60" s="64">
        <f t="shared" si="33"/>
        <v>0</v>
      </c>
      <c r="H60" s="64">
        <f t="shared" si="33"/>
        <v>0</v>
      </c>
    </row>
    <row r="61" spans="1:8" ht="14.25" customHeight="1">
      <c r="A61" s="64">
        <f t="shared" si="26"/>
        <v>0</v>
      </c>
      <c r="B61" s="64">
        <f t="shared" si="27"/>
        <v>0</v>
      </c>
      <c r="C61" s="64">
        <f t="shared" ref="C61:H61" si="34">(B61/B$44)*C$44</f>
        <v>0</v>
      </c>
      <c r="D61" s="64">
        <f t="shared" si="34"/>
        <v>0</v>
      </c>
      <c r="E61" s="64">
        <f t="shared" si="34"/>
        <v>0</v>
      </c>
      <c r="F61" s="64">
        <f t="shared" si="34"/>
        <v>0</v>
      </c>
      <c r="G61" s="64">
        <f t="shared" si="34"/>
        <v>0</v>
      </c>
      <c r="H61" s="64">
        <f t="shared" si="34"/>
        <v>0</v>
      </c>
    </row>
    <row r="62" spans="1:8" ht="14.25" customHeight="1">
      <c r="A62" s="64">
        <f t="shared" si="26"/>
        <v>0</v>
      </c>
      <c r="B62" s="64">
        <f t="shared" si="27"/>
        <v>0</v>
      </c>
      <c r="C62" s="64">
        <f t="shared" ref="C62:H62" si="35">(B62/B$44)*C$44</f>
        <v>0</v>
      </c>
      <c r="D62" s="64">
        <f t="shared" si="35"/>
        <v>0</v>
      </c>
      <c r="E62" s="64">
        <f t="shared" si="35"/>
        <v>0</v>
      </c>
      <c r="F62" s="64">
        <f t="shared" si="35"/>
        <v>0</v>
      </c>
      <c r="G62" s="64">
        <f t="shared" si="35"/>
        <v>0</v>
      </c>
      <c r="H62" s="64">
        <f t="shared" si="35"/>
        <v>0</v>
      </c>
    </row>
    <row r="63" spans="1:8" ht="14.25" customHeight="1">
      <c r="A63" s="64">
        <f t="shared" ref="A63:A70" si="36">B33</f>
        <v>0</v>
      </c>
      <c r="B63" s="64">
        <f t="shared" ref="B63:B70" si="37">H33*$B$44</f>
        <v>0</v>
      </c>
      <c r="C63" s="64">
        <f t="shared" ref="C63:H63" si="38">(B63/B$44)*C$44</f>
        <v>0</v>
      </c>
      <c r="D63" s="64">
        <f t="shared" si="38"/>
        <v>0</v>
      </c>
      <c r="E63" s="64">
        <f t="shared" si="38"/>
        <v>0</v>
      </c>
      <c r="F63" s="64">
        <f t="shared" si="38"/>
        <v>0</v>
      </c>
      <c r="G63" s="64">
        <f t="shared" si="38"/>
        <v>0</v>
      </c>
      <c r="H63" s="64">
        <f t="shared" si="38"/>
        <v>0</v>
      </c>
    </row>
    <row r="64" spans="1:8" ht="14.25" customHeight="1">
      <c r="A64" s="64">
        <f t="shared" si="36"/>
        <v>0</v>
      </c>
      <c r="B64" s="64">
        <f t="shared" si="37"/>
        <v>0</v>
      </c>
      <c r="C64" s="64">
        <f t="shared" ref="C64:H64" si="39">(B64/B$44)*C$44</f>
        <v>0</v>
      </c>
      <c r="D64" s="64">
        <f t="shared" si="39"/>
        <v>0</v>
      </c>
      <c r="E64" s="64">
        <f t="shared" si="39"/>
        <v>0</v>
      </c>
      <c r="F64" s="64">
        <f t="shared" si="39"/>
        <v>0</v>
      </c>
      <c r="G64" s="64">
        <f t="shared" si="39"/>
        <v>0</v>
      </c>
      <c r="H64" s="64">
        <f t="shared" si="39"/>
        <v>0</v>
      </c>
    </row>
    <row r="65" spans="1:8" ht="14.25" customHeight="1">
      <c r="A65" s="64">
        <f t="shared" si="36"/>
        <v>0</v>
      </c>
      <c r="B65" s="64">
        <f t="shared" si="37"/>
        <v>0</v>
      </c>
      <c r="C65" s="64">
        <f t="shared" ref="C65:H65" si="40">(B65/B$44)*C$44</f>
        <v>0</v>
      </c>
      <c r="D65" s="64">
        <f t="shared" si="40"/>
        <v>0</v>
      </c>
      <c r="E65" s="64">
        <f t="shared" si="40"/>
        <v>0</v>
      </c>
      <c r="F65" s="64">
        <f t="shared" si="40"/>
        <v>0</v>
      </c>
      <c r="G65" s="64">
        <f t="shared" si="40"/>
        <v>0</v>
      </c>
      <c r="H65" s="64">
        <f t="shared" si="40"/>
        <v>0</v>
      </c>
    </row>
    <row r="66" spans="1:8" ht="14.25" customHeight="1">
      <c r="A66" s="64">
        <f t="shared" si="36"/>
        <v>0</v>
      </c>
      <c r="B66" s="64">
        <f t="shared" si="37"/>
        <v>0</v>
      </c>
      <c r="C66" s="64">
        <f t="shared" ref="C66:H66" si="41">(B66/B$44)*C$44</f>
        <v>0</v>
      </c>
      <c r="D66" s="64">
        <f t="shared" si="41"/>
        <v>0</v>
      </c>
      <c r="E66" s="64">
        <f t="shared" si="41"/>
        <v>0</v>
      </c>
      <c r="F66" s="64">
        <f t="shared" si="41"/>
        <v>0</v>
      </c>
      <c r="G66" s="64">
        <f t="shared" si="41"/>
        <v>0</v>
      </c>
      <c r="H66" s="64">
        <f t="shared" si="41"/>
        <v>0</v>
      </c>
    </row>
    <row r="67" spans="1:8" ht="14.25" customHeight="1">
      <c r="A67" s="64" t="str">
        <f t="shared" si="36"/>
        <v>Pomegranate</v>
      </c>
      <c r="B67" s="64">
        <f t="shared" si="37"/>
        <v>0</v>
      </c>
      <c r="C67" s="64">
        <f t="shared" ref="C67:H67" si="42">(B67/B$44)*C$44</f>
        <v>0</v>
      </c>
      <c r="D67" s="64">
        <f t="shared" si="42"/>
        <v>0</v>
      </c>
      <c r="E67" s="64">
        <f t="shared" si="42"/>
        <v>0</v>
      </c>
      <c r="F67" s="64">
        <f t="shared" si="42"/>
        <v>0</v>
      </c>
      <c r="G67" s="64">
        <f t="shared" si="42"/>
        <v>0</v>
      </c>
      <c r="H67" s="64">
        <f t="shared" si="42"/>
        <v>0</v>
      </c>
    </row>
    <row r="68" spans="1:8" ht="14.25" customHeight="1">
      <c r="A68" s="64" t="str">
        <f t="shared" si="36"/>
        <v>Custard Apple</v>
      </c>
      <c r="B68" s="64">
        <f t="shared" si="37"/>
        <v>0</v>
      </c>
      <c r="C68" s="64">
        <f t="shared" ref="C68:H68" si="43">(B68/B$44)*C$44</f>
        <v>0</v>
      </c>
      <c r="D68" s="64">
        <f t="shared" si="43"/>
        <v>0</v>
      </c>
      <c r="E68" s="64">
        <f t="shared" si="43"/>
        <v>0</v>
      </c>
      <c r="F68" s="64">
        <f t="shared" si="43"/>
        <v>0</v>
      </c>
      <c r="G68" s="64">
        <f t="shared" si="43"/>
        <v>0</v>
      </c>
      <c r="H68" s="64">
        <f t="shared" si="43"/>
        <v>0</v>
      </c>
    </row>
    <row r="69" spans="1:8" ht="14.25" customHeight="1">
      <c r="A69" s="64" t="str">
        <f t="shared" si="36"/>
        <v>Guava</v>
      </c>
      <c r="B69" s="64">
        <f t="shared" si="37"/>
        <v>0</v>
      </c>
      <c r="C69" s="64">
        <f t="shared" ref="C69:H69" si="44">(B69/B$44)*C$44</f>
        <v>0</v>
      </c>
      <c r="D69" s="64">
        <f t="shared" si="44"/>
        <v>0</v>
      </c>
      <c r="E69" s="64">
        <f t="shared" si="44"/>
        <v>0</v>
      </c>
      <c r="F69" s="64">
        <f t="shared" si="44"/>
        <v>0</v>
      </c>
      <c r="G69" s="64">
        <f t="shared" si="44"/>
        <v>0</v>
      </c>
      <c r="H69" s="64">
        <f t="shared" si="44"/>
        <v>0</v>
      </c>
    </row>
    <row r="70" spans="1:8" ht="14.25" customHeight="1">
      <c r="A70" s="64" t="str">
        <f t="shared" si="36"/>
        <v>Citrus</v>
      </c>
      <c r="B70" s="64">
        <f t="shared" si="37"/>
        <v>0</v>
      </c>
      <c r="C70" s="64">
        <f t="shared" ref="C70:H70" si="45">(B70/B$44)*C$44</f>
        <v>0</v>
      </c>
      <c r="D70" s="64">
        <f t="shared" si="45"/>
        <v>0</v>
      </c>
      <c r="E70" s="64">
        <f t="shared" si="45"/>
        <v>0</v>
      </c>
      <c r="F70" s="64">
        <f t="shared" si="45"/>
        <v>0</v>
      </c>
      <c r="G70" s="64">
        <f t="shared" si="45"/>
        <v>0</v>
      </c>
      <c r="H70" s="64">
        <f t="shared" si="45"/>
        <v>0</v>
      </c>
    </row>
    <row r="71" spans="1:8" ht="14.25" customHeight="1">
      <c r="A71" s="411" t="s">
        <v>609</v>
      </c>
      <c r="B71" s="347"/>
      <c r="C71" s="347"/>
      <c r="D71" s="347"/>
      <c r="E71" s="347"/>
      <c r="F71" s="347"/>
      <c r="G71" s="347"/>
      <c r="H71" s="348"/>
    </row>
    <row r="72" spans="1:8" ht="14.25" customHeight="1">
      <c r="A72" s="418" t="s">
        <v>201</v>
      </c>
      <c r="B72" s="289">
        <v>0.05</v>
      </c>
      <c r="C72" s="289">
        <f t="shared" ref="C72:H72" si="46">B72+0.05</f>
        <v>0.1</v>
      </c>
      <c r="D72" s="289">
        <f t="shared" si="46"/>
        <v>0.15000000000000002</v>
      </c>
      <c r="E72" s="289">
        <f t="shared" si="46"/>
        <v>0.2</v>
      </c>
      <c r="F72" s="289">
        <f t="shared" si="46"/>
        <v>0.25</v>
      </c>
      <c r="G72" s="289">
        <f t="shared" si="46"/>
        <v>0.3</v>
      </c>
      <c r="H72" s="289">
        <f t="shared" si="46"/>
        <v>0.35</v>
      </c>
    </row>
    <row r="73" spans="1:8" ht="14.25" customHeight="1">
      <c r="A73" s="351"/>
      <c r="B73" s="272" t="s">
        <v>204</v>
      </c>
      <c r="C73" s="272" t="s">
        <v>205</v>
      </c>
      <c r="D73" s="272" t="s">
        <v>206</v>
      </c>
      <c r="E73" s="272" t="s">
        <v>207</v>
      </c>
      <c r="F73" s="272" t="s">
        <v>208</v>
      </c>
      <c r="G73" s="272" t="s">
        <v>209</v>
      </c>
      <c r="H73" s="272" t="s">
        <v>210</v>
      </c>
    </row>
    <row r="74" spans="1:8" ht="14.25" customHeight="1">
      <c r="A74" s="64" t="str">
        <f t="shared" ref="A74:A98" si="47">A46</f>
        <v>Onion</v>
      </c>
      <c r="B74" s="64">
        <f t="shared" ref="B74:H74" si="48">H14*$B$72</f>
        <v>0</v>
      </c>
      <c r="C74" s="64">
        <f t="shared" si="48"/>
        <v>0</v>
      </c>
      <c r="D74" s="64">
        <f t="shared" si="48"/>
        <v>0</v>
      </c>
      <c r="E74" s="64">
        <f t="shared" si="48"/>
        <v>0</v>
      </c>
      <c r="F74" s="64">
        <f t="shared" si="48"/>
        <v>0</v>
      </c>
      <c r="G74" s="64">
        <f t="shared" si="48"/>
        <v>0</v>
      </c>
      <c r="H74" s="64">
        <f t="shared" si="48"/>
        <v>0</v>
      </c>
    </row>
    <row r="75" spans="1:8" ht="14.25" customHeight="1">
      <c r="A75" s="64" t="str">
        <f t="shared" si="47"/>
        <v>Tomato</v>
      </c>
      <c r="B75" s="64">
        <f>H15*$B$72*0</f>
        <v>0</v>
      </c>
      <c r="C75" s="64">
        <f t="shared" ref="C75:H75" si="49">(B75/B72)*C72</f>
        <v>0</v>
      </c>
      <c r="D75" s="64">
        <f t="shared" si="49"/>
        <v>0</v>
      </c>
      <c r="E75" s="64">
        <f t="shared" si="49"/>
        <v>0</v>
      </c>
      <c r="F75" s="64">
        <f t="shared" si="49"/>
        <v>0</v>
      </c>
      <c r="G75" s="64">
        <f t="shared" si="49"/>
        <v>0</v>
      </c>
      <c r="H75" s="64">
        <f t="shared" si="49"/>
        <v>0</v>
      </c>
    </row>
    <row r="76" spans="1:8" ht="14.25" customHeight="1">
      <c r="A76" s="64" t="str">
        <f t="shared" si="47"/>
        <v>Okra</v>
      </c>
      <c r="B76" s="64">
        <f>H16*$B$72</f>
        <v>0</v>
      </c>
      <c r="C76" s="64">
        <f t="shared" ref="C76:H76" si="50">(B76/B72)*C72</f>
        <v>0</v>
      </c>
      <c r="D76" s="64">
        <f t="shared" si="50"/>
        <v>0</v>
      </c>
      <c r="E76" s="64">
        <f t="shared" si="50"/>
        <v>0</v>
      </c>
      <c r="F76" s="64">
        <f t="shared" si="50"/>
        <v>0</v>
      </c>
      <c r="G76" s="64">
        <f t="shared" si="50"/>
        <v>0</v>
      </c>
      <c r="H76" s="64">
        <f t="shared" si="50"/>
        <v>0</v>
      </c>
    </row>
    <row r="77" spans="1:8" ht="14.25" customHeight="1">
      <c r="A77" s="64" t="str">
        <f t="shared" si="47"/>
        <v>Chilli</v>
      </c>
      <c r="B77" s="64">
        <f>H17*$B$72*0</f>
        <v>0</v>
      </c>
      <c r="C77" s="64">
        <f t="shared" ref="C77:H77" si="51">(B77/B$72)*C$72</f>
        <v>0</v>
      </c>
      <c r="D77" s="64">
        <f t="shared" si="51"/>
        <v>0</v>
      </c>
      <c r="E77" s="64">
        <f t="shared" si="51"/>
        <v>0</v>
      </c>
      <c r="F77" s="64">
        <f t="shared" si="51"/>
        <v>0</v>
      </c>
      <c r="G77" s="64">
        <f t="shared" si="51"/>
        <v>0</v>
      </c>
      <c r="H77" s="64">
        <f t="shared" si="51"/>
        <v>0</v>
      </c>
    </row>
    <row r="78" spans="1:8" ht="14.25" customHeight="1">
      <c r="A78" s="64" t="str">
        <f t="shared" si="47"/>
        <v>Potato</v>
      </c>
      <c r="B78" s="64">
        <f t="shared" ref="B78:B82" si="52">H18*$B$72</f>
        <v>0</v>
      </c>
      <c r="C78" s="64">
        <f t="shared" ref="C78:H78" si="53">(B78/B$72)*C$72</f>
        <v>0</v>
      </c>
      <c r="D78" s="64">
        <f t="shared" si="53"/>
        <v>0</v>
      </c>
      <c r="E78" s="64">
        <f t="shared" si="53"/>
        <v>0</v>
      </c>
      <c r="F78" s="64">
        <f t="shared" si="53"/>
        <v>0</v>
      </c>
      <c r="G78" s="64">
        <f t="shared" si="53"/>
        <v>0</v>
      </c>
      <c r="H78" s="64">
        <f t="shared" si="53"/>
        <v>0</v>
      </c>
    </row>
    <row r="79" spans="1:8" ht="14.25" customHeight="1">
      <c r="A79" s="64">
        <f t="shared" si="47"/>
        <v>0</v>
      </c>
      <c r="B79" s="64">
        <f t="shared" si="52"/>
        <v>0</v>
      </c>
      <c r="C79" s="64">
        <f t="shared" ref="C79:H79" si="54">(B79/B$72)*C$72</f>
        <v>0</v>
      </c>
      <c r="D79" s="64">
        <f t="shared" si="54"/>
        <v>0</v>
      </c>
      <c r="E79" s="64">
        <f t="shared" si="54"/>
        <v>0</v>
      </c>
      <c r="F79" s="64">
        <f t="shared" si="54"/>
        <v>0</v>
      </c>
      <c r="G79" s="64">
        <f t="shared" si="54"/>
        <v>0</v>
      </c>
      <c r="H79" s="64">
        <f t="shared" si="54"/>
        <v>0</v>
      </c>
    </row>
    <row r="80" spans="1:8" ht="14.25" customHeight="1">
      <c r="A80" s="64">
        <f t="shared" si="47"/>
        <v>0</v>
      </c>
      <c r="B80" s="64">
        <f t="shared" si="52"/>
        <v>0</v>
      </c>
      <c r="C80" s="64">
        <f t="shared" ref="C80:H80" si="55">(B80/B$72)*C$72</f>
        <v>0</v>
      </c>
      <c r="D80" s="64">
        <f t="shared" si="55"/>
        <v>0</v>
      </c>
      <c r="E80" s="64">
        <f t="shared" si="55"/>
        <v>0</v>
      </c>
      <c r="F80" s="64">
        <f t="shared" si="55"/>
        <v>0</v>
      </c>
      <c r="G80" s="64">
        <f t="shared" si="55"/>
        <v>0</v>
      </c>
      <c r="H80" s="64">
        <f t="shared" si="55"/>
        <v>0</v>
      </c>
    </row>
    <row r="81" spans="1:8" ht="14.25" customHeight="1">
      <c r="A81" s="64">
        <f t="shared" si="47"/>
        <v>0</v>
      </c>
      <c r="B81" s="64">
        <f t="shared" si="52"/>
        <v>0</v>
      </c>
      <c r="C81" s="64">
        <f t="shared" ref="C81:H81" si="56">(B81/B$72)*C$72</f>
        <v>0</v>
      </c>
      <c r="D81" s="64">
        <f t="shared" si="56"/>
        <v>0</v>
      </c>
      <c r="E81" s="64">
        <f t="shared" si="56"/>
        <v>0</v>
      </c>
      <c r="F81" s="64">
        <f t="shared" si="56"/>
        <v>0</v>
      </c>
      <c r="G81" s="64">
        <f t="shared" si="56"/>
        <v>0</v>
      </c>
      <c r="H81" s="64">
        <f t="shared" si="56"/>
        <v>0</v>
      </c>
    </row>
    <row r="82" spans="1:8" ht="14.25" customHeight="1">
      <c r="A82" s="64">
        <f t="shared" si="47"/>
        <v>0</v>
      </c>
      <c r="B82" s="64">
        <f t="shared" si="52"/>
        <v>0</v>
      </c>
      <c r="C82" s="64">
        <f t="shared" ref="C82:H82" si="57">(B82/B$72)*C$72</f>
        <v>0</v>
      </c>
      <c r="D82" s="64">
        <f t="shared" si="57"/>
        <v>0</v>
      </c>
      <c r="E82" s="64">
        <f t="shared" si="57"/>
        <v>0</v>
      </c>
      <c r="F82" s="64">
        <f t="shared" si="57"/>
        <v>0</v>
      </c>
      <c r="G82" s="64">
        <f t="shared" si="57"/>
        <v>0</v>
      </c>
      <c r="H82" s="64">
        <f t="shared" si="57"/>
        <v>0</v>
      </c>
    </row>
    <row r="83" spans="1:8" ht="14.25" customHeight="1">
      <c r="A83" s="64" t="str">
        <f t="shared" si="47"/>
        <v>Onion</v>
      </c>
      <c r="B83" s="64">
        <f t="shared" ref="B83:B90" si="58">H24*$B$72</f>
        <v>0</v>
      </c>
      <c r="C83" s="64">
        <f t="shared" ref="C83:H83" si="59">(B83/B$72)*C$72</f>
        <v>0</v>
      </c>
      <c r="D83" s="64">
        <f t="shared" si="59"/>
        <v>0</v>
      </c>
      <c r="E83" s="64">
        <f t="shared" si="59"/>
        <v>0</v>
      </c>
      <c r="F83" s="64">
        <f t="shared" si="59"/>
        <v>0</v>
      </c>
      <c r="G83" s="64">
        <f t="shared" si="59"/>
        <v>0</v>
      </c>
      <c r="H83" s="64">
        <f t="shared" si="59"/>
        <v>0</v>
      </c>
    </row>
    <row r="84" spans="1:8" ht="14.25" customHeight="1">
      <c r="A84" s="64" t="str">
        <f t="shared" si="47"/>
        <v>Tomato</v>
      </c>
      <c r="B84" s="64">
        <f t="shared" si="58"/>
        <v>0</v>
      </c>
      <c r="C84" s="64">
        <f t="shared" ref="C84:H84" si="60">(B84/B$72)*C$72</f>
        <v>0</v>
      </c>
      <c r="D84" s="64">
        <f t="shared" si="60"/>
        <v>0</v>
      </c>
      <c r="E84" s="64">
        <f t="shared" si="60"/>
        <v>0</v>
      </c>
      <c r="F84" s="64">
        <f t="shared" si="60"/>
        <v>0</v>
      </c>
      <c r="G84" s="64">
        <f t="shared" si="60"/>
        <v>0</v>
      </c>
      <c r="H84" s="64">
        <f t="shared" si="60"/>
        <v>0</v>
      </c>
    </row>
    <row r="85" spans="1:8" ht="14.25" customHeight="1">
      <c r="A85" s="64" t="str">
        <f t="shared" si="47"/>
        <v>Okra</v>
      </c>
      <c r="B85" s="64">
        <f t="shared" si="58"/>
        <v>0</v>
      </c>
      <c r="C85" s="64">
        <f t="shared" ref="C85:H85" si="61">(B85/B$72)*C$72</f>
        <v>0</v>
      </c>
      <c r="D85" s="64">
        <f t="shared" si="61"/>
        <v>0</v>
      </c>
      <c r="E85" s="64">
        <f t="shared" si="61"/>
        <v>0</v>
      </c>
      <c r="F85" s="64">
        <f t="shared" si="61"/>
        <v>0</v>
      </c>
      <c r="G85" s="64">
        <f t="shared" si="61"/>
        <v>0</v>
      </c>
      <c r="H85" s="64">
        <f t="shared" si="61"/>
        <v>0</v>
      </c>
    </row>
    <row r="86" spans="1:8" ht="14.25" customHeight="1">
      <c r="A86" s="64" t="str">
        <f t="shared" si="47"/>
        <v>Chilli</v>
      </c>
      <c r="B86" s="64">
        <f t="shared" si="58"/>
        <v>0</v>
      </c>
      <c r="C86" s="64">
        <f t="shared" ref="C86:H86" si="62">(B86/B$72)*C$72</f>
        <v>0</v>
      </c>
      <c r="D86" s="64">
        <f t="shared" si="62"/>
        <v>0</v>
      </c>
      <c r="E86" s="64">
        <f t="shared" si="62"/>
        <v>0</v>
      </c>
      <c r="F86" s="64">
        <f t="shared" si="62"/>
        <v>0</v>
      </c>
      <c r="G86" s="64">
        <f t="shared" si="62"/>
        <v>0</v>
      </c>
      <c r="H86" s="64">
        <f t="shared" si="62"/>
        <v>0</v>
      </c>
    </row>
    <row r="87" spans="1:8" ht="14.25" customHeight="1">
      <c r="A87" s="64" t="str">
        <f t="shared" si="47"/>
        <v>Brinjal</v>
      </c>
      <c r="B87" s="64">
        <f t="shared" si="58"/>
        <v>0</v>
      </c>
      <c r="C87" s="64">
        <f t="shared" ref="C87:H87" si="63">(B87/B$72)*C$72</f>
        <v>0</v>
      </c>
      <c r="D87" s="64">
        <f t="shared" si="63"/>
        <v>0</v>
      </c>
      <c r="E87" s="64">
        <f t="shared" si="63"/>
        <v>0</v>
      </c>
      <c r="F87" s="64">
        <f t="shared" si="63"/>
        <v>0</v>
      </c>
      <c r="G87" s="64">
        <f t="shared" si="63"/>
        <v>0</v>
      </c>
      <c r="H87" s="64">
        <f t="shared" si="63"/>
        <v>0</v>
      </c>
    </row>
    <row r="88" spans="1:8" ht="14.25" customHeight="1">
      <c r="A88" s="64">
        <f t="shared" si="47"/>
        <v>0</v>
      </c>
      <c r="B88" s="64">
        <f t="shared" si="58"/>
        <v>0</v>
      </c>
      <c r="C88" s="64">
        <f t="shared" ref="C88:H88" si="64">(B88/B$72)*C$72</f>
        <v>0</v>
      </c>
      <c r="D88" s="64">
        <f t="shared" si="64"/>
        <v>0</v>
      </c>
      <c r="E88" s="64">
        <f t="shared" si="64"/>
        <v>0</v>
      </c>
      <c r="F88" s="64">
        <f t="shared" si="64"/>
        <v>0</v>
      </c>
      <c r="G88" s="64">
        <f t="shared" si="64"/>
        <v>0</v>
      </c>
      <c r="H88" s="64">
        <f t="shared" si="64"/>
        <v>0</v>
      </c>
    </row>
    <row r="89" spans="1:8" ht="14.25" customHeight="1">
      <c r="A89" s="64">
        <f t="shared" si="47"/>
        <v>0</v>
      </c>
      <c r="B89" s="64">
        <f t="shared" si="58"/>
        <v>0</v>
      </c>
      <c r="C89" s="64">
        <f t="shared" ref="C89:H89" si="65">(B89/B$72)*C$72</f>
        <v>0</v>
      </c>
      <c r="D89" s="64">
        <f t="shared" si="65"/>
        <v>0</v>
      </c>
      <c r="E89" s="64">
        <f t="shared" si="65"/>
        <v>0</v>
      </c>
      <c r="F89" s="64">
        <f t="shared" si="65"/>
        <v>0</v>
      </c>
      <c r="G89" s="64">
        <f t="shared" si="65"/>
        <v>0</v>
      </c>
      <c r="H89" s="64">
        <f t="shared" si="65"/>
        <v>0</v>
      </c>
    </row>
    <row r="90" spans="1:8" ht="14.25" customHeight="1">
      <c r="A90" s="64">
        <f t="shared" si="47"/>
        <v>0</v>
      </c>
      <c r="B90" s="64">
        <f t="shared" si="58"/>
        <v>0</v>
      </c>
      <c r="C90" s="64">
        <f t="shared" ref="C90:H90" si="66">(B90/B$72)*C$72</f>
        <v>0</v>
      </c>
      <c r="D90" s="64">
        <f t="shared" si="66"/>
        <v>0</v>
      </c>
      <c r="E90" s="64">
        <f t="shared" si="66"/>
        <v>0</v>
      </c>
      <c r="F90" s="64">
        <f t="shared" si="66"/>
        <v>0</v>
      </c>
      <c r="G90" s="64">
        <f t="shared" si="66"/>
        <v>0</v>
      </c>
      <c r="H90" s="64">
        <f t="shared" si="66"/>
        <v>0</v>
      </c>
    </row>
    <row r="91" spans="1:8" ht="14.25" customHeight="1">
      <c r="A91" s="64">
        <f t="shared" si="47"/>
        <v>0</v>
      </c>
      <c r="B91" s="64">
        <f t="shared" ref="B91:B98" si="67">H33*$B$72</f>
        <v>0</v>
      </c>
      <c r="C91" s="64">
        <f t="shared" ref="C91:H91" si="68">(B91/B$72)*C$72</f>
        <v>0</v>
      </c>
      <c r="D91" s="64">
        <f t="shared" si="68"/>
        <v>0</v>
      </c>
      <c r="E91" s="64">
        <f t="shared" si="68"/>
        <v>0</v>
      </c>
      <c r="F91" s="64">
        <f t="shared" si="68"/>
        <v>0</v>
      </c>
      <c r="G91" s="64">
        <f t="shared" si="68"/>
        <v>0</v>
      </c>
      <c r="H91" s="64">
        <f t="shared" si="68"/>
        <v>0</v>
      </c>
    </row>
    <row r="92" spans="1:8" ht="14.25" customHeight="1">
      <c r="A92" s="64">
        <f t="shared" si="47"/>
        <v>0</v>
      </c>
      <c r="B92" s="64">
        <f t="shared" si="67"/>
        <v>0</v>
      </c>
      <c r="C92" s="64">
        <f t="shared" ref="C92:G92" si="69">(B92/B$72)*C$72</f>
        <v>0</v>
      </c>
      <c r="D92" s="64">
        <f t="shared" si="69"/>
        <v>0</v>
      </c>
      <c r="E92" s="64">
        <f t="shared" si="69"/>
        <v>0</v>
      </c>
      <c r="F92" s="64">
        <f t="shared" si="69"/>
        <v>0</v>
      </c>
      <c r="G92" s="64">
        <f t="shared" si="69"/>
        <v>0</v>
      </c>
      <c r="H92" s="64"/>
    </row>
    <row r="93" spans="1:8" ht="14.25" customHeight="1">
      <c r="A93" s="64">
        <f t="shared" si="47"/>
        <v>0</v>
      </c>
      <c r="B93" s="64">
        <f t="shared" si="67"/>
        <v>0</v>
      </c>
      <c r="C93" s="64">
        <f t="shared" ref="C93:G93" si="70">(B93/B$72)*C$72</f>
        <v>0</v>
      </c>
      <c r="D93" s="64">
        <f t="shared" si="70"/>
        <v>0</v>
      </c>
      <c r="E93" s="64">
        <f t="shared" si="70"/>
        <v>0</v>
      </c>
      <c r="F93" s="64">
        <f t="shared" si="70"/>
        <v>0</v>
      </c>
      <c r="G93" s="64">
        <f t="shared" si="70"/>
        <v>0</v>
      </c>
      <c r="H93" s="64"/>
    </row>
    <row r="94" spans="1:8" ht="14.25" customHeight="1">
      <c r="A94" s="64">
        <f t="shared" si="47"/>
        <v>0</v>
      </c>
      <c r="B94" s="64">
        <f t="shared" si="67"/>
        <v>0</v>
      </c>
      <c r="C94" s="64">
        <f t="shared" ref="C94:G94" si="71">(B94/B$72)*C$72</f>
        <v>0</v>
      </c>
      <c r="D94" s="64">
        <f t="shared" si="71"/>
        <v>0</v>
      </c>
      <c r="E94" s="64">
        <f t="shared" si="71"/>
        <v>0</v>
      </c>
      <c r="F94" s="64">
        <f t="shared" si="71"/>
        <v>0</v>
      </c>
      <c r="G94" s="64">
        <f t="shared" si="71"/>
        <v>0</v>
      </c>
      <c r="H94" s="64"/>
    </row>
    <row r="95" spans="1:8" ht="14.25" customHeight="1">
      <c r="A95" s="64" t="str">
        <f t="shared" si="47"/>
        <v>Pomegranate</v>
      </c>
      <c r="B95" s="64">
        <f t="shared" si="67"/>
        <v>0</v>
      </c>
      <c r="C95" s="64">
        <f t="shared" ref="C95:H95" si="72">(B95/B$72)*C$72</f>
        <v>0</v>
      </c>
      <c r="D95" s="64">
        <f t="shared" si="72"/>
        <v>0</v>
      </c>
      <c r="E95" s="64">
        <f t="shared" si="72"/>
        <v>0</v>
      </c>
      <c r="F95" s="64">
        <f t="shared" si="72"/>
        <v>0</v>
      </c>
      <c r="G95" s="64">
        <f t="shared" si="72"/>
        <v>0</v>
      </c>
      <c r="H95" s="64">
        <f t="shared" si="72"/>
        <v>0</v>
      </c>
    </row>
    <row r="96" spans="1:8" ht="14.25" customHeight="1">
      <c r="A96" s="64" t="str">
        <f t="shared" si="47"/>
        <v>Custard Apple</v>
      </c>
      <c r="B96" s="64">
        <f t="shared" si="67"/>
        <v>0</v>
      </c>
      <c r="C96" s="64">
        <f t="shared" ref="C96:H96" si="73">(B96/B$72)*C$72</f>
        <v>0</v>
      </c>
      <c r="D96" s="64">
        <f t="shared" si="73"/>
        <v>0</v>
      </c>
      <c r="E96" s="64">
        <f t="shared" si="73"/>
        <v>0</v>
      </c>
      <c r="F96" s="64">
        <f t="shared" si="73"/>
        <v>0</v>
      </c>
      <c r="G96" s="64">
        <f t="shared" si="73"/>
        <v>0</v>
      </c>
      <c r="H96" s="64">
        <f t="shared" si="73"/>
        <v>0</v>
      </c>
    </row>
    <row r="97" spans="1:8" ht="14.25" customHeight="1">
      <c r="A97" s="64" t="str">
        <f t="shared" si="47"/>
        <v>Guava</v>
      </c>
      <c r="B97" s="64">
        <f t="shared" si="67"/>
        <v>0</v>
      </c>
      <c r="C97" s="64">
        <f t="shared" ref="C97:H97" si="74">(B97/B$72)*C$72</f>
        <v>0</v>
      </c>
      <c r="D97" s="64">
        <f t="shared" si="74"/>
        <v>0</v>
      </c>
      <c r="E97" s="64">
        <f t="shared" si="74"/>
        <v>0</v>
      </c>
      <c r="F97" s="64">
        <f t="shared" si="74"/>
        <v>0</v>
      </c>
      <c r="G97" s="64">
        <f t="shared" si="74"/>
        <v>0</v>
      </c>
      <c r="H97" s="64">
        <f t="shared" si="74"/>
        <v>0</v>
      </c>
    </row>
    <row r="98" spans="1:8" ht="14.25" customHeight="1">
      <c r="A98" s="64" t="str">
        <f t="shared" si="47"/>
        <v>Citrus</v>
      </c>
      <c r="B98" s="64">
        <f t="shared" si="67"/>
        <v>0</v>
      </c>
      <c r="C98" s="64">
        <f t="shared" ref="C98:H98" si="75">(B98/B$72)*C$72</f>
        <v>0</v>
      </c>
      <c r="D98" s="64">
        <f t="shared" si="75"/>
        <v>0</v>
      </c>
      <c r="E98" s="64">
        <f t="shared" si="75"/>
        <v>0</v>
      </c>
      <c r="F98" s="64">
        <f t="shared" si="75"/>
        <v>0</v>
      </c>
      <c r="G98" s="64">
        <f t="shared" si="75"/>
        <v>0</v>
      </c>
      <c r="H98" s="64">
        <f t="shared" si="75"/>
        <v>0</v>
      </c>
    </row>
    <row r="99" spans="1:8" ht="14.25" customHeight="1">
      <c r="A99" s="411" t="s">
        <v>610</v>
      </c>
      <c r="B99" s="347"/>
      <c r="C99" s="347"/>
      <c r="D99" s="347"/>
      <c r="E99" s="347"/>
      <c r="F99" s="347"/>
      <c r="G99" s="347"/>
      <c r="H99" s="348"/>
    </row>
    <row r="100" spans="1:8" ht="14.25" customHeight="1">
      <c r="A100" s="412" t="s">
        <v>201</v>
      </c>
      <c r="B100" s="282">
        <v>0.65</v>
      </c>
      <c r="C100" s="290">
        <f t="shared" ref="C100:H100" si="76">B100+0.05</f>
        <v>0.70000000000000007</v>
      </c>
      <c r="D100" s="290">
        <f t="shared" si="76"/>
        <v>0.75000000000000011</v>
      </c>
      <c r="E100" s="290">
        <f t="shared" si="76"/>
        <v>0.80000000000000016</v>
      </c>
      <c r="F100" s="290">
        <f t="shared" si="76"/>
        <v>0.8500000000000002</v>
      </c>
      <c r="G100" s="290">
        <f t="shared" si="76"/>
        <v>0.90000000000000024</v>
      </c>
      <c r="H100" s="290">
        <f t="shared" si="76"/>
        <v>0.95000000000000029</v>
      </c>
    </row>
    <row r="101" spans="1:8" ht="14.25" customHeight="1">
      <c r="A101" s="351"/>
      <c r="B101" s="272" t="s">
        <v>204</v>
      </c>
      <c r="C101" s="272" t="s">
        <v>205</v>
      </c>
      <c r="D101" s="272" t="s">
        <v>206</v>
      </c>
      <c r="E101" s="272" t="s">
        <v>207</v>
      </c>
      <c r="F101" s="272" t="s">
        <v>208</v>
      </c>
      <c r="G101" s="272" t="s">
        <v>209</v>
      </c>
      <c r="H101" s="272" t="s">
        <v>210</v>
      </c>
    </row>
    <row r="102" spans="1:8" ht="14.25" customHeight="1">
      <c r="A102" s="64" t="str">
        <f t="shared" ref="A102:A126" si="77">A74</f>
        <v>Onion</v>
      </c>
      <c r="B102" s="64">
        <f t="shared" ref="B102:B110" si="78">D14*$B$100</f>
        <v>0</v>
      </c>
      <c r="C102" s="64">
        <f t="shared" ref="C102:H102" si="79">(B102/B$100)*C$100</f>
        <v>0</v>
      </c>
      <c r="D102" s="64">
        <f t="shared" si="79"/>
        <v>0</v>
      </c>
      <c r="E102" s="64">
        <f t="shared" si="79"/>
        <v>0</v>
      </c>
      <c r="F102" s="64">
        <f t="shared" si="79"/>
        <v>0</v>
      </c>
      <c r="G102" s="64">
        <f t="shared" si="79"/>
        <v>0</v>
      </c>
      <c r="H102" s="64">
        <f t="shared" si="79"/>
        <v>0</v>
      </c>
    </row>
    <row r="103" spans="1:8" ht="14.25" customHeight="1">
      <c r="A103" s="64" t="str">
        <f t="shared" si="77"/>
        <v>Tomato</v>
      </c>
      <c r="B103" s="64">
        <f t="shared" si="78"/>
        <v>0</v>
      </c>
      <c r="C103" s="64">
        <f t="shared" ref="C103:C126" si="80">(B103/B$100)*C$100</f>
        <v>0</v>
      </c>
      <c r="D103" s="64">
        <f t="shared" ref="D103:H103" si="81">(C103/C100)*D100</f>
        <v>0</v>
      </c>
      <c r="E103" s="64">
        <f t="shared" si="81"/>
        <v>0</v>
      </c>
      <c r="F103" s="64">
        <f t="shared" si="81"/>
        <v>0</v>
      </c>
      <c r="G103" s="64">
        <f t="shared" si="81"/>
        <v>0</v>
      </c>
      <c r="H103" s="64">
        <f t="shared" si="81"/>
        <v>0</v>
      </c>
    </row>
    <row r="104" spans="1:8" ht="14.25" customHeight="1">
      <c r="A104" s="64" t="str">
        <f t="shared" si="77"/>
        <v>Okra</v>
      </c>
      <c r="B104" s="64">
        <f t="shared" si="78"/>
        <v>0</v>
      </c>
      <c r="C104" s="64">
        <f t="shared" si="80"/>
        <v>0</v>
      </c>
      <c r="D104" s="64">
        <f t="shared" ref="D104:H104" si="82">(C104/C$100)*D$100</f>
        <v>0</v>
      </c>
      <c r="E104" s="64">
        <f t="shared" si="82"/>
        <v>0</v>
      </c>
      <c r="F104" s="64">
        <f t="shared" si="82"/>
        <v>0</v>
      </c>
      <c r="G104" s="64">
        <f t="shared" si="82"/>
        <v>0</v>
      </c>
      <c r="H104" s="64">
        <f t="shared" si="82"/>
        <v>0</v>
      </c>
    </row>
    <row r="105" spans="1:8" ht="14.25" customHeight="1">
      <c r="A105" s="64" t="str">
        <f t="shared" si="77"/>
        <v>Chilli</v>
      </c>
      <c r="B105" s="64">
        <f t="shared" si="78"/>
        <v>0</v>
      </c>
      <c r="C105" s="64">
        <f t="shared" si="80"/>
        <v>0</v>
      </c>
      <c r="D105" s="64">
        <f t="shared" ref="D105:H105" si="83">(C105/C$100)*D$100</f>
        <v>0</v>
      </c>
      <c r="E105" s="64">
        <f t="shared" si="83"/>
        <v>0</v>
      </c>
      <c r="F105" s="64">
        <f t="shared" si="83"/>
        <v>0</v>
      </c>
      <c r="G105" s="64">
        <f t="shared" si="83"/>
        <v>0</v>
      </c>
      <c r="H105" s="64">
        <f t="shared" si="83"/>
        <v>0</v>
      </c>
    </row>
    <row r="106" spans="1:8" ht="14.25" customHeight="1">
      <c r="A106" s="64" t="str">
        <f t="shared" si="77"/>
        <v>Potato</v>
      </c>
      <c r="B106" s="64">
        <f t="shared" si="78"/>
        <v>0</v>
      </c>
      <c r="C106" s="64">
        <f t="shared" si="80"/>
        <v>0</v>
      </c>
      <c r="D106" s="64">
        <f t="shared" ref="D106:H106" si="84">(C106/C$100)*D$100</f>
        <v>0</v>
      </c>
      <c r="E106" s="64">
        <f t="shared" si="84"/>
        <v>0</v>
      </c>
      <c r="F106" s="64">
        <f t="shared" si="84"/>
        <v>0</v>
      </c>
      <c r="G106" s="64">
        <f t="shared" si="84"/>
        <v>0</v>
      </c>
      <c r="H106" s="64">
        <f t="shared" si="84"/>
        <v>0</v>
      </c>
    </row>
    <row r="107" spans="1:8" ht="14.25" customHeight="1">
      <c r="A107" s="64">
        <f t="shared" si="77"/>
        <v>0</v>
      </c>
      <c r="B107" s="64">
        <f t="shared" si="78"/>
        <v>0</v>
      </c>
      <c r="C107" s="64">
        <f t="shared" si="80"/>
        <v>0</v>
      </c>
      <c r="D107" s="64">
        <f t="shared" ref="D107:H107" si="85">(C107/C$100)*D$100</f>
        <v>0</v>
      </c>
      <c r="E107" s="64">
        <f t="shared" si="85"/>
        <v>0</v>
      </c>
      <c r="F107" s="64">
        <f t="shared" si="85"/>
        <v>0</v>
      </c>
      <c r="G107" s="64">
        <f t="shared" si="85"/>
        <v>0</v>
      </c>
      <c r="H107" s="64">
        <f t="shared" si="85"/>
        <v>0</v>
      </c>
    </row>
    <row r="108" spans="1:8" ht="14.25" customHeight="1">
      <c r="A108" s="64">
        <f t="shared" si="77"/>
        <v>0</v>
      </c>
      <c r="B108" s="64">
        <f t="shared" si="78"/>
        <v>0</v>
      </c>
      <c r="C108" s="64">
        <f t="shared" si="80"/>
        <v>0</v>
      </c>
      <c r="D108" s="64">
        <f t="shared" ref="D108:H108" si="86">(C108/C$100)*D$100</f>
        <v>0</v>
      </c>
      <c r="E108" s="64">
        <f t="shared" si="86"/>
        <v>0</v>
      </c>
      <c r="F108" s="64">
        <f t="shared" si="86"/>
        <v>0</v>
      </c>
      <c r="G108" s="64">
        <f t="shared" si="86"/>
        <v>0</v>
      </c>
      <c r="H108" s="64">
        <f t="shared" si="86"/>
        <v>0</v>
      </c>
    </row>
    <row r="109" spans="1:8" ht="14.25" customHeight="1">
      <c r="A109" s="64">
        <f t="shared" si="77"/>
        <v>0</v>
      </c>
      <c r="B109" s="64">
        <f t="shared" si="78"/>
        <v>0</v>
      </c>
      <c r="C109" s="64">
        <f t="shared" si="80"/>
        <v>0</v>
      </c>
      <c r="D109" s="64">
        <f t="shared" ref="D109:H109" si="87">(C109/C$100)*D$100</f>
        <v>0</v>
      </c>
      <c r="E109" s="64">
        <f t="shared" si="87"/>
        <v>0</v>
      </c>
      <c r="F109" s="64">
        <f t="shared" si="87"/>
        <v>0</v>
      </c>
      <c r="G109" s="64">
        <f t="shared" si="87"/>
        <v>0</v>
      </c>
      <c r="H109" s="64">
        <f t="shared" si="87"/>
        <v>0</v>
      </c>
    </row>
    <row r="110" spans="1:8" ht="14.25" customHeight="1">
      <c r="A110" s="64">
        <f t="shared" si="77"/>
        <v>0</v>
      </c>
      <c r="B110" s="64">
        <f t="shared" si="78"/>
        <v>0</v>
      </c>
      <c r="C110" s="64">
        <f t="shared" si="80"/>
        <v>0</v>
      </c>
      <c r="D110" s="64">
        <f t="shared" ref="D110:H110" si="88">(C110/C$100)*D$100</f>
        <v>0</v>
      </c>
      <c r="E110" s="64">
        <f t="shared" si="88"/>
        <v>0</v>
      </c>
      <c r="F110" s="64">
        <f t="shared" si="88"/>
        <v>0</v>
      </c>
      <c r="G110" s="64">
        <f t="shared" si="88"/>
        <v>0</v>
      </c>
      <c r="H110" s="64">
        <f t="shared" si="88"/>
        <v>0</v>
      </c>
    </row>
    <row r="111" spans="1:8" ht="14.25" customHeight="1">
      <c r="A111" s="64" t="str">
        <f t="shared" si="77"/>
        <v>Onion</v>
      </c>
      <c r="B111" s="64">
        <f t="shared" ref="B111:B118" si="89">D24*$B$100</f>
        <v>0</v>
      </c>
      <c r="C111" s="64">
        <f t="shared" si="80"/>
        <v>0</v>
      </c>
      <c r="D111" s="64">
        <f t="shared" ref="D111:H111" si="90">(C111/C$100)*D$100</f>
        <v>0</v>
      </c>
      <c r="E111" s="64">
        <f t="shared" si="90"/>
        <v>0</v>
      </c>
      <c r="F111" s="64">
        <f t="shared" si="90"/>
        <v>0</v>
      </c>
      <c r="G111" s="64">
        <f t="shared" si="90"/>
        <v>0</v>
      </c>
      <c r="H111" s="64">
        <f t="shared" si="90"/>
        <v>0</v>
      </c>
    </row>
    <row r="112" spans="1:8" ht="14.25" customHeight="1">
      <c r="A112" s="64" t="str">
        <f t="shared" si="77"/>
        <v>Tomato</v>
      </c>
      <c r="B112" s="64">
        <f t="shared" si="89"/>
        <v>0</v>
      </c>
      <c r="C112" s="64">
        <f t="shared" si="80"/>
        <v>0</v>
      </c>
      <c r="D112" s="64">
        <f t="shared" ref="D112:H112" si="91">(C112/C$100)*D$100</f>
        <v>0</v>
      </c>
      <c r="E112" s="64">
        <f t="shared" si="91"/>
        <v>0</v>
      </c>
      <c r="F112" s="64">
        <f t="shared" si="91"/>
        <v>0</v>
      </c>
      <c r="G112" s="64">
        <f t="shared" si="91"/>
        <v>0</v>
      </c>
      <c r="H112" s="64">
        <f t="shared" si="91"/>
        <v>0</v>
      </c>
    </row>
    <row r="113" spans="1:9" ht="14.25" customHeight="1">
      <c r="A113" s="64" t="str">
        <f t="shared" si="77"/>
        <v>Okra</v>
      </c>
      <c r="B113" s="64">
        <f t="shared" si="89"/>
        <v>0</v>
      </c>
      <c r="C113" s="64">
        <f t="shared" si="80"/>
        <v>0</v>
      </c>
      <c r="D113" s="64">
        <f t="shared" ref="D113:H113" si="92">(C113/C$100)*D$100</f>
        <v>0</v>
      </c>
      <c r="E113" s="64">
        <f t="shared" si="92"/>
        <v>0</v>
      </c>
      <c r="F113" s="64">
        <f t="shared" si="92"/>
        <v>0</v>
      </c>
      <c r="G113" s="64">
        <f t="shared" si="92"/>
        <v>0</v>
      </c>
      <c r="H113" s="64">
        <f t="shared" si="92"/>
        <v>0</v>
      </c>
    </row>
    <row r="114" spans="1:9" ht="14.25" customHeight="1">
      <c r="A114" s="64" t="str">
        <f t="shared" si="77"/>
        <v>Chilli</v>
      </c>
      <c r="B114" s="64">
        <f t="shared" si="89"/>
        <v>0</v>
      </c>
      <c r="C114" s="64">
        <f t="shared" si="80"/>
        <v>0</v>
      </c>
      <c r="D114" s="64">
        <f t="shared" ref="D114:H114" si="93">(C114/C$100)*D$100</f>
        <v>0</v>
      </c>
      <c r="E114" s="64">
        <f t="shared" si="93"/>
        <v>0</v>
      </c>
      <c r="F114" s="64">
        <f t="shared" si="93"/>
        <v>0</v>
      </c>
      <c r="G114" s="64">
        <f t="shared" si="93"/>
        <v>0</v>
      </c>
      <c r="H114" s="64">
        <f t="shared" si="93"/>
        <v>0</v>
      </c>
    </row>
    <row r="115" spans="1:9" ht="14.25" customHeight="1">
      <c r="A115" s="64" t="str">
        <f t="shared" si="77"/>
        <v>Brinjal</v>
      </c>
      <c r="B115" s="64">
        <f t="shared" si="89"/>
        <v>0</v>
      </c>
      <c r="C115" s="64">
        <f t="shared" si="80"/>
        <v>0</v>
      </c>
      <c r="D115" s="64">
        <f t="shared" ref="D115:H115" si="94">(C115/C$100)*D$100</f>
        <v>0</v>
      </c>
      <c r="E115" s="64">
        <f t="shared" si="94"/>
        <v>0</v>
      </c>
      <c r="F115" s="64">
        <f t="shared" si="94"/>
        <v>0</v>
      </c>
      <c r="G115" s="64">
        <f t="shared" si="94"/>
        <v>0</v>
      </c>
      <c r="H115" s="64">
        <f t="shared" si="94"/>
        <v>0</v>
      </c>
    </row>
    <row r="116" spans="1:9" ht="14.25" customHeight="1">
      <c r="A116" s="64">
        <f t="shared" si="77"/>
        <v>0</v>
      </c>
      <c r="B116" s="64">
        <f t="shared" si="89"/>
        <v>0</v>
      </c>
      <c r="C116" s="64">
        <f t="shared" si="80"/>
        <v>0</v>
      </c>
      <c r="D116" s="64">
        <f t="shared" ref="D116:H116" si="95">(C116/C$100)*D$100</f>
        <v>0</v>
      </c>
      <c r="E116" s="64">
        <f t="shared" si="95"/>
        <v>0</v>
      </c>
      <c r="F116" s="64">
        <f t="shared" si="95"/>
        <v>0</v>
      </c>
      <c r="G116" s="64">
        <f t="shared" si="95"/>
        <v>0</v>
      </c>
      <c r="H116" s="64">
        <f t="shared" si="95"/>
        <v>0</v>
      </c>
    </row>
    <row r="117" spans="1:9" ht="14.25" customHeight="1">
      <c r="A117" s="64">
        <f t="shared" si="77"/>
        <v>0</v>
      </c>
      <c r="B117" s="64">
        <f t="shared" si="89"/>
        <v>0</v>
      </c>
      <c r="C117" s="64">
        <f t="shared" si="80"/>
        <v>0</v>
      </c>
      <c r="D117" s="64">
        <f t="shared" ref="D117:H117" si="96">(C117/C$100)*D$100</f>
        <v>0</v>
      </c>
      <c r="E117" s="64">
        <f t="shared" si="96"/>
        <v>0</v>
      </c>
      <c r="F117" s="64">
        <f t="shared" si="96"/>
        <v>0</v>
      </c>
      <c r="G117" s="64">
        <f t="shared" si="96"/>
        <v>0</v>
      </c>
      <c r="H117" s="64">
        <f t="shared" si="96"/>
        <v>0</v>
      </c>
    </row>
    <row r="118" spans="1:9" ht="14.25" customHeight="1">
      <c r="A118" s="64">
        <f t="shared" si="77"/>
        <v>0</v>
      </c>
      <c r="B118" s="64">
        <f t="shared" si="89"/>
        <v>0</v>
      </c>
      <c r="C118" s="64">
        <f t="shared" si="80"/>
        <v>0</v>
      </c>
      <c r="D118" s="64">
        <f t="shared" ref="D118:H118" si="97">(C118/C$100)*D$100</f>
        <v>0</v>
      </c>
      <c r="E118" s="64">
        <f t="shared" si="97"/>
        <v>0</v>
      </c>
      <c r="F118" s="64">
        <f t="shared" si="97"/>
        <v>0</v>
      </c>
      <c r="G118" s="64">
        <f t="shared" si="97"/>
        <v>0</v>
      </c>
      <c r="H118" s="64">
        <f t="shared" si="97"/>
        <v>0</v>
      </c>
    </row>
    <row r="119" spans="1:9" ht="14.25" customHeight="1">
      <c r="A119" s="64">
        <f t="shared" si="77"/>
        <v>0</v>
      </c>
      <c r="B119" s="64">
        <f t="shared" ref="B119:B126" si="98">D33*$B$100</f>
        <v>0</v>
      </c>
      <c r="C119" s="64">
        <f t="shared" si="80"/>
        <v>0</v>
      </c>
      <c r="D119" s="64">
        <f t="shared" ref="D119:H119" si="99">(C119/C$100)*D$100</f>
        <v>0</v>
      </c>
      <c r="E119" s="64">
        <f t="shared" si="99"/>
        <v>0</v>
      </c>
      <c r="F119" s="64">
        <f t="shared" si="99"/>
        <v>0</v>
      </c>
      <c r="G119" s="64">
        <f t="shared" si="99"/>
        <v>0</v>
      </c>
      <c r="H119" s="64">
        <f t="shared" si="99"/>
        <v>0</v>
      </c>
    </row>
    <row r="120" spans="1:9" ht="14.25" customHeight="1">
      <c r="A120" s="64">
        <f t="shared" si="77"/>
        <v>0</v>
      </c>
      <c r="B120" s="64">
        <f t="shared" si="98"/>
        <v>0</v>
      </c>
      <c r="C120" s="64">
        <f t="shared" si="80"/>
        <v>0</v>
      </c>
      <c r="D120" s="64">
        <f t="shared" ref="D120:H120" si="100">(C120/C$100)*D$100</f>
        <v>0</v>
      </c>
      <c r="E120" s="64">
        <f t="shared" si="100"/>
        <v>0</v>
      </c>
      <c r="F120" s="64">
        <f t="shared" si="100"/>
        <v>0</v>
      </c>
      <c r="G120" s="64">
        <f t="shared" si="100"/>
        <v>0</v>
      </c>
      <c r="H120" s="64">
        <f t="shared" si="100"/>
        <v>0</v>
      </c>
    </row>
    <row r="121" spans="1:9" ht="14.25" customHeight="1">
      <c r="A121" s="64">
        <f t="shared" si="77"/>
        <v>0</v>
      </c>
      <c r="B121" s="64">
        <f t="shared" si="98"/>
        <v>0</v>
      </c>
      <c r="C121" s="64">
        <f t="shared" si="80"/>
        <v>0</v>
      </c>
      <c r="D121" s="64">
        <f t="shared" ref="D121:H121" si="101">(C121/C$100)*D$100</f>
        <v>0</v>
      </c>
      <c r="E121" s="64">
        <f t="shared" si="101"/>
        <v>0</v>
      </c>
      <c r="F121" s="64">
        <f t="shared" si="101"/>
        <v>0</v>
      </c>
      <c r="G121" s="64">
        <f t="shared" si="101"/>
        <v>0</v>
      </c>
      <c r="H121" s="64">
        <f t="shared" si="101"/>
        <v>0</v>
      </c>
    </row>
    <row r="122" spans="1:9" ht="14.25" customHeight="1">
      <c r="A122" s="64">
        <f t="shared" si="77"/>
        <v>0</v>
      </c>
      <c r="B122" s="64">
        <f t="shared" si="98"/>
        <v>0</v>
      </c>
      <c r="C122" s="64">
        <f t="shared" si="80"/>
        <v>0</v>
      </c>
      <c r="D122" s="64">
        <f t="shared" ref="D122:H122" si="102">(C122/C$100)*D$100</f>
        <v>0</v>
      </c>
      <c r="E122" s="64">
        <f t="shared" si="102"/>
        <v>0</v>
      </c>
      <c r="F122" s="64">
        <f t="shared" si="102"/>
        <v>0</v>
      </c>
      <c r="G122" s="64">
        <f t="shared" si="102"/>
        <v>0</v>
      </c>
      <c r="H122" s="64">
        <f t="shared" si="102"/>
        <v>0</v>
      </c>
    </row>
    <row r="123" spans="1:9" ht="14.25" customHeight="1">
      <c r="A123" s="64" t="str">
        <f t="shared" si="77"/>
        <v>Pomegranate</v>
      </c>
      <c r="B123" s="64">
        <f t="shared" si="98"/>
        <v>0</v>
      </c>
      <c r="C123" s="64">
        <f t="shared" si="80"/>
        <v>0</v>
      </c>
      <c r="D123" s="64">
        <f t="shared" ref="D123:H123" si="103">(C123/C$100)*D$100</f>
        <v>0</v>
      </c>
      <c r="E123" s="64">
        <f t="shared" si="103"/>
        <v>0</v>
      </c>
      <c r="F123" s="64">
        <f t="shared" si="103"/>
        <v>0</v>
      </c>
      <c r="G123" s="64">
        <f t="shared" si="103"/>
        <v>0</v>
      </c>
      <c r="H123" s="64">
        <f t="shared" si="103"/>
        <v>0</v>
      </c>
    </row>
    <row r="124" spans="1:9" ht="14.25" customHeight="1">
      <c r="A124" s="64" t="str">
        <f t="shared" si="77"/>
        <v>Custard Apple</v>
      </c>
      <c r="B124" s="64">
        <f t="shared" si="98"/>
        <v>0</v>
      </c>
      <c r="C124" s="64">
        <f t="shared" si="80"/>
        <v>0</v>
      </c>
      <c r="D124" s="64">
        <f t="shared" ref="D124:H124" si="104">(C124/C$100)*D$100</f>
        <v>0</v>
      </c>
      <c r="E124" s="64">
        <f t="shared" si="104"/>
        <v>0</v>
      </c>
      <c r="F124" s="64">
        <f t="shared" si="104"/>
        <v>0</v>
      </c>
      <c r="G124" s="64">
        <f t="shared" si="104"/>
        <v>0</v>
      </c>
      <c r="H124" s="64">
        <f t="shared" si="104"/>
        <v>0</v>
      </c>
    </row>
    <row r="125" spans="1:9" ht="14.25" customHeight="1">
      <c r="A125" s="64" t="str">
        <f t="shared" si="77"/>
        <v>Guava</v>
      </c>
      <c r="B125" s="64">
        <f t="shared" si="98"/>
        <v>0</v>
      </c>
      <c r="C125" s="64">
        <f t="shared" si="80"/>
        <v>0</v>
      </c>
      <c r="D125" s="64">
        <f t="shared" ref="D125:H125" si="105">(C125/C$100)*D$100</f>
        <v>0</v>
      </c>
      <c r="E125" s="64">
        <f t="shared" si="105"/>
        <v>0</v>
      </c>
      <c r="F125" s="64">
        <f t="shared" si="105"/>
        <v>0</v>
      </c>
      <c r="G125" s="64">
        <f t="shared" si="105"/>
        <v>0</v>
      </c>
      <c r="H125" s="64">
        <f t="shared" si="105"/>
        <v>0</v>
      </c>
    </row>
    <row r="126" spans="1:9" ht="14.25" customHeight="1">
      <c r="A126" s="64" t="str">
        <f t="shared" si="77"/>
        <v>Citrus</v>
      </c>
      <c r="B126" s="64">
        <f t="shared" si="98"/>
        <v>0</v>
      </c>
      <c r="C126" s="64">
        <f t="shared" si="80"/>
        <v>0</v>
      </c>
      <c r="D126" s="64">
        <f t="shared" ref="D126:H126" si="106">(C126/C$100)*D$100</f>
        <v>0</v>
      </c>
      <c r="E126" s="64">
        <f t="shared" si="106"/>
        <v>0</v>
      </c>
      <c r="F126" s="64">
        <f t="shared" si="106"/>
        <v>0</v>
      </c>
      <c r="G126" s="64">
        <f t="shared" si="106"/>
        <v>0</v>
      </c>
      <c r="H126" s="64">
        <f t="shared" si="106"/>
        <v>0</v>
      </c>
    </row>
    <row r="127" spans="1:9" ht="14.25" customHeight="1"/>
    <row r="128" spans="1:9" ht="14.25" customHeight="1">
      <c r="C128" s="189"/>
      <c r="D128" s="241"/>
      <c r="E128" s="241"/>
      <c r="F128" s="241"/>
      <c r="G128" s="241"/>
      <c r="H128" s="241"/>
      <c r="I128" s="241"/>
    </row>
    <row r="129" spans="1:9" ht="14.25" customHeight="1">
      <c r="A129" t="s">
        <v>585</v>
      </c>
      <c r="C129" s="54"/>
      <c r="D129" s="54"/>
      <c r="E129" s="54"/>
      <c r="F129" s="54"/>
      <c r="G129" s="54"/>
      <c r="H129" s="54"/>
      <c r="I129" s="54"/>
    </row>
    <row r="130" spans="1:9" ht="14.25" customHeight="1">
      <c r="A130">
        <v>1</v>
      </c>
      <c r="B130" t="s">
        <v>611</v>
      </c>
    </row>
    <row r="131" spans="1:9" ht="14.25" customHeight="1">
      <c r="A131">
        <v>2</v>
      </c>
      <c r="B131" t="s">
        <v>612</v>
      </c>
    </row>
    <row r="132" spans="1:9" ht="14.25" customHeight="1">
      <c r="A132">
        <v>3</v>
      </c>
      <c r="B132" t="s">
        <v>588</v>
      </c>
    </row>
  </sheetData>
  <mergeCells count="13">
    <mergeCell ref="A100:A101"/>
    <mergeCell ref="A37:A40"/>
    <mergeCell ref="A1:H1"/>
    <mergeCell ref="A44:A45"/>
    <mergeCell ref="A71:H71"/>
    <mergeCell ref="A72:A73"/>
    <mergeCell ref="A99:H99"/>
    <mergeCell ref="A3:B3"/>
    <mergeCell ref="A11:H11"/>
    <mergeCell ref="A14:A22"/>
    <mergeCell ref="A24:A31"/>
    <mergeCell ref="A43:H43"/>
    <mergeCell ref="A41:H41"/>
  </mergeCells>
  <pageMargins left="0.7" right="0.7" top="0.75" bottom="0.75" header="0" footer="0"/>
  <pageSetup scale="93"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20"/>
  <sheetViews>
    <sheetView topLeftCell="A223" workbookViewId="0">
      <selection activeCell="D190" sqref="D190"/>
    </sheetView>
  </sheetViews>
  <sheetFormatPr defaultColWidth="14.42578125" defaultRowHeight="15" customHeight="1"/>
  <cols>
    <col min="1" max="1" width="42.42578125" customWidth="1"/>
    <col min="2" max="2" width="23.42578125" customWidth="1"/>
    <col min="3" max="3" width="11.85546875" customWidth="1"/>
    <col min="4" max="5" width="15.85546875" customWidth="1"/>
    <col min="6" max="6" width="18.140625" customWidth="1"/>
    <col min="7" max="10" width="15.85546875" customWidth="1"/>
    <col min="11" max="11" width="10.5703125" customWidth="1"/>
    <col min="12" max="12" width="8.7109375" customWidth="1"/>
    <col min="13" max="13" width="22.85546875" customWidth="1"/>
    <col min="14" max="14" width="12.85546875" customWidth="1"/>
    <col min="15" max="20" width="8.7109375" customWidth="1"/>
  </cols>
  <sheetData>
    <row r="1" spans="1:15" ht="14.25" customHeight="1"/>
    <row r="2" spans="1:15" ht="14.25" customHeight="1">
      <c r="A2" s="359" t="s">
        <v>613</v>
      </c>
      <c r="B2" s="360"/>
      <c r="C2" s="360"/>
      <c r="D2" s="360"/>
      <c r="E2" s="360"/>
      <c r="F2" s="360"/>
      <c r="G2" s="360"/>
      <c r="H2" s="360"/>
    </row>
    <row r="3" spans="1:15" ht="14.25" customHeight="1">
      <c r="A3" s="359" t="s">
        <v>614</v>
      </c>
      <c r="B3" s="360"/>
      <c r="C3" s="360"/>
      <c r="D3" s="360"/>
      <c r="E3" s="360"/>
      <c r="F3" s="360"/>
      <c r="G3" s="360"/>
      <c r="H3" s="360"/>
    </row>
    <row r="4" spans="1:15" ht="14.25" customHeight="1">
      <c r="B4" s="92"/>
      <c r="C4" s="92"/>
      <c r="D4" s="92"/>
      <c r="E4" s="92"/>
      <c r="F4" s="362" t="s">
        <v>615</v>
      </c>
      <c r="G4" s="360"/>
      <c r="H4" s="360"/>
    </row>
    <row r="5" spans="1:15" ht="14.25" customHeight="1">
      <c r="A5" s="92" t="s">
        <v>127</v>
      </c>
      <c r="B5" s="293">
        <v>10</v>
      </c>
      <c r="C5" s="92" t="s">
        <v>616</v>
      </c>
      <c r="D5" s="92"/>
      <c r="E5" s="92"/>
      <c r="F5" s="141" t="s">
        <v>617</v>
      </c>
      <c r="G5" s="141" t="s">
        <v>618</v>
      </c>
      <c r="H5" s="92"/>
      <c r="L5">
        <v>14.35</v>
      </c>
      <c r="M5">
        <f>L5*K5</f>
        <v>0</v>
      </c>
    </row>
    <row r="6" spans="1:15" ht="14.25" customHeight="1">
      <c r="A6" s="92" t="s">
        <v>619</v>
      </c>
      <c r="B6" s="160">
        <v>8</v>
      </c>
      <c r="C6" s="92"/>
      <c r="D6" s="92"/>
      <c r="E6" s="92"/>
      <c r="F6" s="64" t="s">
        <v>620</v>
      </c>
      <c r="G6" s="294">
        <v>0.03</v>
      </c>
      <c r="H6" s="92"/>
      <c r="L6">
        <v>42</v>
      </c>
      <c r="M6">
        <f>L6/2</f>
        <v>21</v>
      </c>
      <c r="N6">
        <f>M6*K5</f>
        <v>0</v>
      </c>
      <c r="O6">
        <f>N6-M5</f>
        <v>0</v>
      </c>
    </row>
    <row r="7" spans="1:15" ht="14.25" customHeight="1">
      <c r="A7" s="92"/>
      <c r="B7" s="92"/>
      <c r="C7" s="92"/>
      <c r="D7" s="92"/>
      <c r="E7" s="92"/>
      <c r="F7" s="64" t="s">
        <v>621</v>
      </c>
      <c r="G7" s="294">
        <v>0.05</v>
      </c>
      <c r="H7" s="92"/>
    </row>
    <row r="8" spans="1:15" ht="14.25" customHeight="1">
      <c r="A8" s="92"/>
      <c r="B8" s="295"/>
      <c r="C8" s="92"/>
      <c r="D8" s="92"/>
      <c r="E8" s="92"/>
      <c r="F8" s="64"/>
      <c r="G8" s="294"/>
      <c r="H8" s="92"/>
    </row>
    <row r="9" spans="1:15" ht="14.25" customHeight="1">
      <c r="A9" s="95" t="s">
        <v>201</v>
      </c>
      <c r="B9" s="96" t="s">
        <v>204</v>
      </c>
      <c r="C9" s="96" t="s">
        <v>205</v>
      </c>
      <c r="D9" s="96" t="s">
        <v>206</v>
      </c>
      <c r="E9" s="96" t="s">
        <v>207</v>
      </c>
      <c r="F9" s="96" t="s">
        <v>208</v>
      </c>
      <c r="G9" s="96" t="s">
        <v>209</v>
      </c>
      <c r="H9" s="96" t="s">
        <v>210</v>
      </c>
    </row>
    <row r="10" spans="1:15" ht="14.25" customHeight="1">
      <c r="A10" s="56" t="s">
        <v>622</v>
      </c>
      <c r="B10" s="296">
        <f t="shared" ref="B10:H10" si="0">B33/($B$5*$B$6)</f>
        <v>130.22958</v>
      </c>
      <c r="C10" s="296">
        <f t="shared" si="0"/>
        <v>151.93450999999999</v>
      </c>
      <c r="D10" s="296">
        <f t="shared" si="0"/>
        <v>173.63943999999998</v>
      </c>
      <c r="E10" s="296">
        <f t="shared" si="0"/>
        <v>195.34436999999997</v>
      </c>
      <c r="F10" s="296">
        <f t="shared" si="0"/>
        <v>217.04929999999996</v>
      </c>
      <c r="G10" s="296">
        <f t="shared" si="0"/>
        <v>238.75423000000001</v>
      </c>
      <c r="H10" s="296">
        <f t="shared" si="0"/>
        <v>260.45916</v>
      </c>
    </row>
    <row r="11" spans="1:15" ht="14.25" hidden="1" customHeight="1">
      <c r="A11" s="297" t="str">
        <f>'10.Grain Production details'!A42</f>
        <v>Soybean</v>
      </c>
      <c r="B11" s="297"/>
      <c r="C11" s="297"/>
      <c r="D11" s="297"/>
      <c r="E11" s="297"/>
      <c r="F11" s="297"/>
      <c r="G11" s="297"/>
      <c r="H11" s="297"/>
    </row>
    <row r="12" spans="1:15" ht="14.25" hidden="1" customHeight="1">
      <c r="A12" s="297" t="str">
        <f>'10.Grain Production details'!A43</f>
        <v>Red Gram/Tur</v>
      </c>
      <c r="B12" s="297"/>
      <c r="C12" s="297"/>
      <c r="D12" s="297"/>
      <c r="E12" s="297"/>
      <c r="F12" s="297"/>
      <c r="G12" s="297"/>
      <c r="H12" s="297"/>
    </row>
    <row r="13" spans="1:15" ht="14.25" hidden="1" customHeight="1">
      <c r="A13" s="297" t="str">
        <f>'10.Grain Production details'!A44</f>
        <v>Paddy/Rice</v>
      </c>
      <c r="B13" s="297"/>
      <c r="C13" s="297"/>
      <c r="D13" s="297"/>
      <c r="E13" s="297"/>
      <c r="F13" s="297"/>
      <c r="G13" s="297"/>
      <c r="H13" s="297"/>
    </row>
    <row r="14" spans="1:15" ht="14.25" hidden="1" customHeight="1">
      <c r="A14" s="297" t="str">
        <f>'10.Grain Production details'!A45</f>
        <v>Green Gram/ Moong</v>
      </c>
      <c r="B14" s="297"/>
      <c r="C14" s="297"/>
      <c r="D14" s="297"/>
      <c r="E14" s="297"/>
      <c r="F14" s="297"/>
      <c r="G14" s="297"/>
      <c r="H14" s="297"/>
    </row>
    <row r="15" spans="1:15" ht="14.25" hidden="1" customHeight="1">
      <c r="A15" s="297" t="str">
        <f>'10.Grain Production details'!A46</f>
        <v>Maize</v>
      </c>
      <c r="B15" s="297"/>
      <c r="C15" s="297"/>
      <c r="D15" s="297"/>
      <c r="E15" s="297"/>
      <c r="F15" s="297"/>
      <c r="G15" s="297"/>
      <c r="H15" s="297"/>
    </row>
    <row r="16" spans="1:15" ht="14.25" hidden="1" customHeight="1">
      <c r="A16" s="297" t="str">
        <f>'10.Grain Production details'!A47</f>
        <v>Black Gram/Udid</v>
      </c>
      <c r="B16" s="297"/>
      <c r="C16" s="297"/>
      <c r="D16" s="297"/>
      <c r="E16" s="297"/>
      <c r="F16" s="297"/>
      <c r="G16" s="297"/>
      <c r="H16" s="297"/>
    </row>
    <row r="17" spans="1:8" ht="14.25" hidden="1" customHeight="1">
      <c r="A17" s="297" t="str">
        <f>'10.Grain Production details'!A48</f>
        <v>Bajra</v>
      </c>
      <c r="B17" s="297">
        <f>'10.Grain Production details'!B48</f>
        <v>0</v>
      </c>
      <c r="C17" s="297">
        <f>'10.Grain Production details'!C48</f>
        <v>0</v>
      </c>
      <c r="D17" s="297">
        <f>'10.Grain Production details'!D48</f>
        <v>0</v>
      </c>
      <c r="E17" s="297">
        <f>'10.Grain Production details'!E48</f>
        <v>0</v>
      </c>
      <c r="F17" s="297">
        <f>'10.Grain Production details'!F48</f>
        <v>0</v>
      </c>
      <c r="G17" s="297">
        <f>'10.Grain Production details'!G48</f>
        <v>0</v>
      </c>
      <c r="H17" s="297">
        <f>'10.Grain Production details'!H48</f>
        <v>0</v>
      </c>
    </row>
    <row r="18" spans="1:8" ht="14.25" customHeight="1">
      <c r="A18" s="297" t="str">
        <f>'10.Grain Production details'!A49</f>
        <v>Jawar</v>
      </c>
      <c r="B18" s="297">
        <f>'10.Grain Production details'!B74</f>
        <v>3880.5</v>
      </c>
      <c r="C18" s="297">
        <f>'10.Grain Production details'!C74</f>
        <v>4527.25</v>
      </c>
      <c r="D18" s="297">
        <f>'10.Grain Production details'!D74</f>
        <v>5174</v>
      </c>
      <c r="E18" s="297">
        <f>'10.Grain Production details'!E74</f>
        <v>5820.75</v>
      </c>
      <c r="F18" s="297">
        <f>'10.Grain Production details'!F74</f>
        <v>6467.5</v>
      </c>
      <c r="G18" s="297">
        <f>'10.Grain Production details'!G74</f>
        <v>7114.25</v>
      </c>
      <c r="H18" s="297">
        <f>'10.Grain Production details'!H74</f>
        <v>7761.0000000000009</v>
      </c>
    </row>
    <row r="19" spans="1:8" ht="14.25" customHeight="1">
      <c r="A19" s="297" t="str">
        <f>'10.Grain Production details'!A50</f>
        <v>Sunflower</v>
      </c>
      <c r="B19" s="297">
        <f>'10.Grain Production details'!B50</f>
        <v>0</v>
      </c>
      <c r="C19" s="297">
        <f>'10.Grain Production details'!C50</f>
        <v>0</v>
      </c>
      <c r="D19" s="297">
        <f>'10.Grain Production details'!D50</f>
        <v>0</v>
      </c>
      <c r="E19" s="297">
        <f>'10.Grain Production details'!E50</f>
        <v>0</v>
      </c>
      <c r="F19" s="297">
        <f>'10.Grain Production details'!F50</f>
        <v>0</v>
      </c>
      <c r="G19" s="297">
        <f>'10.Grain Production details'!G50</f>
        <v>0</v>
      </c>
      <c r="H19" s="297">
        <f>'10.Grain Production details'!H50</f>
        <v>0</v>
      </c>
    </row>
    <row r="20" spans="1:8" ht="14.25" customHeight="1">
      <c r="A20" s="297" t="str">
        <f>'10.Grain Production details'!A51</f>
        <v>Wheat</v>
      </c>
      <c r="B20" s="297">
        <f>'10.Grain Production details'!B76</f>
        <v>6537.8663999999999</v>
      </c>
      <c r="C20" s="297">
        <f>'10.Grain Production details'!C76</f>
        <v>7627.5107999999991</v>
      </c>
      <c r="D20" s="297">
        <f>'10.Grain Production details'!D76</f>
        <v>8717.1551999999992</v>
      </c>
      <c r="E20" s="297">
        <f>'10.Grain Production details'!E76</f>
        <v>9806.7995999999985</v>
      </c>
      <c r="F20" s="297">
        <f>'10.Grain Production details'!F76</f>
        <v>10896.443999999998</v>
      </c>
      <c r="G20" s="297">
        <f>'10.Grain Production details'!G76</f>
        <v>11986.088399999999</v>
      </c>
      <c r="H20" s="297">
        <f>'10.Grain Production details'!H76</f>
        <v>13075.7328</v>
      </c>
    </row>
    <row r="21" spans="1:8" ht="14.25" hidden="1" customHeight="1">
      <c r="A21" s="297" t="str">
        <f>'10.Grain Production details'!A52</f>
        <v>Bengal Gram/Channa</v>
      </c>
      <c r="B21" s="297">
        <f>'10.Grain Production details'!B52*0</f>
        <v>0</v>
      </c>
      <c r="C21" s="297">
        <f>'10.Grain Production details'!C52*0</f>
        <v>0</v>
      </c>
      <c r="D21" s="297">
        <f>'10.Grain Production details'!D52*0</f>
        <v>0</v>
      </c>
      <c r="E21" s="297">
        <f>'10.Grain Production details'!E52*0</f>
        <v>0</v>
      </c>
      <c r="F21" s="297">
        <f>'10.Grain Production details'!F52*0</f>
        <v>0</v>
      </c>
      <c r="G21" s="297">
        <f>'10.Grain Production details'!G52*0</f>
        <v>0</v>
      </c>
      <c r="H21" s="297">
        <f>'10.Grain Production details'!H52*0</f>
        <v>0</v>
      </c>
    </row>
    <row r="22" spans="1:8" ht="14.25" hidden="1" customHeight="1">
      <c r="A22" s="297" t="str">
        <f>'10.Grain Production details'!A53</f>
        <v>Jawar</v>
      </c>
      <c r="B22" s="297">
        <f>'10.Grain Production details'!B53</f>
        <v>0</v>
      </c>
      <c r="C22" s="297">
        <f>'10.Grain Production details'!C53</f>
        <v>0</v>
      </c>
      <c r="D22" s="297">
        <f>'10.Grain Production details'!D53</f>
        <v>0</v>
      </c>
      <c r="E22" s="297">
        <f>'10.Grain Production details'!E53</f>
        <v>0</v>
      </c>
      <c r="F22" s="297">
        <f>'10.Grain Production details'!F53</f>
        <v>0</v>
      </c>
      <c r="G22" s="297">
        <f>'10.Grain Production details'!G53</f>
        <v>0</v>
      </c>
      <c r="H22" s="297">
        <f>'10.Grain Production details'!H53</f>
        <v>0</v>
      </c>
    </row>
    <row r="23" spans="1:8" ht="14.25" hidden="1" customHeight="1">
      <c r="A23" s="297" t="str">
        <f>'10.Grain Production details'!A54</f>
        <v>Maize</v>
      </c>
      <c r="B23" s="297">
        <f>'10.Grain Production details'!B54</f>
        <v>0</v>
      </c>
      <c r="C23" s="297">
        <f>'10.Grain Production details'!C54</f>
        <v>0</v>
      </c>
      <c r="D23" s="297">
        <f>'10.Grain Production details'!D54</f>
        <v>0</v>
      </c>
      <c r="E23" s="297">
        <f>'10.Grain Production details'!E54</f>
        <v>0</v>
      </c>
      <c r="F23" s="297">
        <f>'10.Grain Production details'!F54</f>
        <v>0</v>
      </c>
      <c r="G23" s="297">
        <f>'10.Grain Production details'!G54</f>
        <v>0</v>
      </c>
      <c r="H23" s="297">
        <f>'10.Grain Production details'!H54</f>
        <v>0</v>
      </c>
    </row>
    <row r="24" spans="1:8" ht="14.25" hidden="1" customHeight="1">
      <c r="A24" s="297" t="str">
        <f>'10.Grain Production details'!A55</f>
        <v>Safflower</v>
      </c>
      <c r="B24" s="297">
        <f>'10.Grain Production details'!B55</f>
        <v>0</v>
      </c>
      <c r="C24" s="297">
        <f>'10.Grain Production details'!C55</f>
        <v>0</v>
      </c>
      <c r="D24" s="297">
        <f>'10.Grain Production details'!D55</f>
        <v>0</v>
      </c>
      <c r="E24" s="297">
        <f>'10.Grain Production details'!E55</f>
        <v>0</v>
      </c>
      <c r="F24" s="297">
        <f>'10.Grain Production details'!F55</f>
        <v>0</v>
      </c>
      <c r="G24" s="297">
        <f>'10.Grain Production details'!G55</f>
        <v>0</v>
      </c>
      <c r="H24" s="297">
        <f>'10.Grain Production details'!H55</f>
        <v>0</v>
      </c>
    </row>
    <row r="25" spans="1:8" ht="14.25" hidden="1" customHeight="1">
      <c r="A25" s="297">
        <f>'10.Grain Production details'!A56</f>
        <v>0</v>
      </c>
      <c r="B25" s="297">
        <f>'10.Grain Production details'!B56</f>
        <v>0</v>
      </c>
      <c r="C25" s="297">
        <f>'10.Grain Production details'!C56</f>
        <v>0</v>
      </c>
      <c r="D25" s="297">
        <f>'10.Grain Production details'!D56</f>
        <v>0</v>
      </c>
      <c r="E25" s="297">
        <f>'10.Grain Production details'!E56</f>
        <v>0</v>
      </c>
      <c r="F25" s="297">
        <f>'10.Grain Production details'!F56</f>
        <v>0</v>
      </c>
      <c r="G25" s="297">
        <f>'10.Grain Production details'!G56</f>
        <v>0</v>
      </c>
      <c r="H25" s="297">
        <f>'10.Grain Production details'!H56</f>
        <v>0</v>
      </c>
    </row>
    <row r="26" spans="1:8" ht="14.25" hidden="1" customHeight="1">
      <c r="A26" s="297">
        <f>'10.Grain Production details'!A57</f>
        <v>0</v>
      </c>
      <c r="B26" s="297">
        <f>'10.Grain Production details'!B57</f>
        <v>0</v>
      </c>
      <c r="C26" s="297">
        <f>'10.Grain Production details'!C57</f>
        <v>0</v>
      </c>
      <c r="D26" s="297">
        <f>'10.Grain Production details'!D57</f>
        <v>0</v>
      </c>
      <c r="E26" s="297">
        <f>'10.Grain Production details'!E57</f>
        <v>0</v>
      </c>
      <c r="F26" s="297">
        <f>'10.Grain Production details'!F57</f>
        <v>0</v>
      </c>
      <c r="G26" s="297">
        <f>'10.Grain Production details'!G57</f>
        <v>0</v>
      </c>
      <c r="H26" s="297">
        <f>'10.Grain Production details'!H57</f>
        <v>0</v>
      </c>
    </row>
    <row r="27" spans="1:8" ht="14.25" hidden="1" customHeight="1">
      <c r="A27" s="297">
        <f>'10.Grain Production details'!A58</f>
        <v>0</v>
      </c>
      <c r="B27" s="297">
        <f>'10.Grain Production details'!B58</f>
        <v>0</v>
      </c>
      <c r="C27" s="297">
        <f>'10.Grain Production details'!C58</f>
        <v>0</v>
      </c>
      <c r="D27" s="297">
        <f>'10.Grain Production details'!D58</f>
        <v>0</v>
      </c>
      <c r="E27" s="297">
        <f>'10.Grain Production details'!E58</f>
        <v>0</v>
      </c>
      <c r="F27" s="297">
        <f>'10.Grain Production details'!F58</f>
        <v>0</v>
      </c>
      <c r="G27" s="297">
        <f>'10.Grain Production details'!G58</f>
        <v>0</v>
      </c>
      <c r="H27" s="297">
        <f>'10.Grain Production details'!H58</f>
        <v>0</v>
      </c>
    </row>
    <row r="28" spans="1:8" ht="14.25" hidden="1" customHeight="1">
      <c r="A28" s="297" t="str">
        <f>'10.Grain Production details'!A59</f>
        <v>Groundnut</v>
      </c>
      <c r="B28" s="297">
        <f>'10.Grain Production details'!B59</f>
        <v>0</v>
      </c>
      <c r="C28" s="297">
        <f>'10.Grain Production details'!C59</f>
        <v>0</v>
      </c>
      <c r="D28" s="297">
        <f>'10.Grain Production details'!D59</f>
        <v>0</v>
      </c>
      <c r="E28" s="297">
        <f>'10.Grain Production details'!E59</f>
        <v>0</v>
      </c>
      <c r="F28" s="297">
        <f>'10.Grain Production details'!F59</f>
        <v>0</v>
      </c>
      <c r="G28" s="297">
        <f>'10.Grain Production details'!G59</f>
        <v>0</v>
      </c>
      <c r="H28" s="297">
        <f>'10.Grain Production details'!H59</f>
        <v>0</v>
      </c>
    </row>
    <row r="29" spans="1:8" ht="14.25" hidden="1" customHeight="1">
      <c r="A29" s="297">
        <f>'10.Grain Production details'!A60</f>
        <v>0</v>
      </c>
      <c r="B29" s="297">
        <f>'10.Grain Production details'!B60</f>
        <v>0</v>
      </c>
      <c r="C29" s="297">
        <f>'10.Grain Production details'!C60</f>
        <v>0</v>
      </c>
      <c r="D29" s="297">
        <f>'10.Grain Production details'!D60</f>
        <v>0</v>
      </c>
      <c r="E29" s="297">
        <f>'10.Grain Production details'!E60</f>
        <v>0</v>
      </c>
      <c r="F29" s="297">
        <f>'10.Grain Production details'!F60</f>
        <v>0</v>
      </c>
      <c r="G29" s="297">
        <f>'10.Grain Production details'!G60</f>
        <v>0</v>
      </c>
      <c r="H29" s="297">
        <f>'10.Grain Production details'!H60</f>
        <v>0</v>
      </c>
    </row>
    <row r="30" spans="1:8" ht="14.25" hidden="1" customHeight="1">
      <c r="A30" s="297">
        <f>'10.Grain Production details'!A61</f>
        <v>0</v>
      </c>
      <c r="B30" s="297">
        <f>'10.Grain Production details'!B61</f>
        <v>0</v>
      </c>
      <c r="C30" s="297">
        <f>'10.Grain Production details'!C61</f>
        <v>0</v>
      </c>
      <c r="D30" s="297">
        <f>'10.Grain Production details'!D61</f>
        <v>0</v>
      </c>
      <c r="E30" s="297">
        <f>'10.Grain Production details'!E61</f>
        <v>0</v>
      </c>
      <c r="F30" s="297">
        <f>'10.Grain Production details'!F61</f>
        <v>0</v>
      </c>
      <c r="G30" s="297">
        <f>'10.Grain Production details'!G61</f>
        <v>0</v>
      </c>
      <c r="H30" s="297">
        <f>'10.Grain Production details'!H61</f>
        <v>0</v>
      </c>
    </row>
    <row r="31" spans="1:8" ht="14.25" hidden="1" customHeight="1">
      <c r="A31" s="297">
        <f>'10.Grain Production details'!A62</f>
        <v>0</v>
      </c>
      <c r="B31" s="297">
        <f>'10.Grain Production details'!B62</f>
        <v>0</v>
      </c>
      <c r="C31" s="297">
        <f>'10.Grain Production details'!C62</f>
        <v>0</v>
      </c>
      <c r="D31" s="297">
        <f>'10.Grain Production details'!D62</f>
        <v>0</v>
      </c>
      <c r="E31" s="297">
        <f>'10.Grain Production details'!E62</f>
        <v>0</v>
      </c>
      <c r="F31" s="297">
        <f>'10.Grain Production details'!F62</f>
        <v>0</v>
      </c>
      <c r="G31" s="297">
        <f>'10.Grain Production details'!G62</f>
        <v>0</v>
      </c>
      <c r="H31" s="297">
        <f>'10.Grain Production details'!H62</f>
        <v>0</v>
      </c>
    </row>
    <row r="32" spans="1:8" ht="14.25" customHeight="1">
      <c r="A32" s="297">
        <f>'10.Grain Production details'!B63</f>
        <v>0</v>
      </c>
      <c r="B32" s="297">
        <f>'10.Grain Production details'!C63</f>
        <v>0</v>
      </c>
      <c r="C32" s="297">
        <f>'10.Grain Production details'!D63</f>
        <v>0</v>
      </c>
      <c r="D32" s="297">
        <f>'10.Grain Production details'!E63</f>
        <v>0</v>
      </c>
      <c r="E32" s="297">
        <f>'10.Grain Production details'!F63</f>
        <v>0</v>
      </c>
      <c r="F32" s="297">
        <f>'10.Grain Production details'!G63</f>
        <v>0</v>
      </c>
      <c r="G32" s="297">
        <f>'10.Grain Production details'!H63</f>
        <v>0</v>
      </c>
      <c r="H32" s="297">
        <f>'10.Grain Production details'!I63</f>
        <v>0</v>
      </c>
    </row>
    <row r="33" spans="1:8" ht="14.25" customHeight="1">
      <c r="A33" s="98" t="s">
        <v>623</v>
      </c>
      <c r="B33" s="297">
        <f t="shared" ref="B33:H33" si="1">SUM(B11:B32)</f>
        <v>10418.366399999999</v>
      </c>
      <c r="C33" s="297">
        <f t="shared" si="1"/>
        <v>12154.7608</v>
      </c>
      <c r="D33" s="297">
        <f t="shared" si="1"/>
        <v>13891.155199999999</v>
      </c>
      <c r="E33" s="297">
        <f t="shared" si="1"/>
        <v>15627.549599999998</v>
      </c>
      <c r="F33" s="297">
        <f t="shared" si="1"/>
        <v>17363.943999999996</v>
      </c>
      <c r="G33" s="297">
        <f t="shared" si="1"/>
        <v>19100.338400000001</v>
      </c>
      <c r="H33" s="297">
        <f t="shared" si="1"/>
        <v>20836.732800000002</v>
      </c>
    </row>
    <row r="34" spans="1:8" ht="14.25" hidden="1" customHeight="1">
      <c r="A34" s="297" t="str">
        <f>'11.F&amp;V Crop Production details'!A1:H1</f>
        <v>Fruit  &amp; Vegetables Crop Production Details</v>
      </c>
      <c r="B34" s="297"/>
      <c r="C34" s="297"/>
      <c r="D34" s="297"/>
      <c r="E34" s="297"/>
      <c r="F34" s="297"/>
      <c r="G34" s="297"/>
      <c r="H34" s="297"/>
    </row>
    <row r="35" spans="1:8" ht="14.25" hidden="1" customHeight="1">
      <c r="A35" s="297" t="str">
        <f>'11.F&amp;V Crop Production details'!A46</f>
        <v>Onion</v>
      </c>
      <c r="B35" s="297">
        <f>'11.F&amp;V Crop Production details'!B46</f>
        <v>0</v>
      </c>
      <c r="C35" s="297">
        <f>'11.F&amp;V Crop Production details'!C46</f>
        <v>0</v>
      </c>
      <c r="D35" s="297">
        <f>'11.F&amp;V Crop Production details'!D46</f>
        <v>0</v>
      </c>
      <c r="E35" s="297">
        <f>'11.F&amp;V Crop Production details'!E46</f>
        <v>0</v>
      </c>
      <c r="F35" s="297">
        <f>'11.F&amp;V Crop Production details'!F46</f>
        <v>0</v>
      </c>
      <c r="G35" s="297">
        <f>'11.F&amp;V Crop Production details'!G46</f>
        <v>0</v>
      </c>
      <c r="H35" s="297">
        <f>'11.F&amp;V Crop Production details'!H46</f>
        <v>0</v>
      </c>
    </row>
    <row r="36" spans="1:8" ht="14.25" hidden="1" customHeight="1">
      <c r="A36" s="297" t="str">
        <f>'11.F&amp;V Crop Production details'!A47</f>
        <v>Tomato</v>
      </c>
      <c r="B36" s="297">
        <f>'11.F&amp;V Crop Production details'!B47</f>
        <v>0</v>
      </c>
      <c r="C36" s="297">
        <f>'11.F&amp;V Crop Production details'!C47</f>
        <v>0</v>
      </c>
      <c r="D36" s="297">
        <f>'11.F&amp;V Crop Production details'!D47</f>
        <v>0</v>
      </c>
      <c r="E36" s="297">
        <f>'11.F&amp;V Crop Production details'!E47</f>
        <v>0</v>
      </c>
      <c r="F36" s="297">
        <f>'11.F&amp;V Crop Production details'!F47</f>
        <v>0</v>
      </c>
      <c r="G36" s="297">
        <f>'11.F&amp;V Crop Production details'!G47</f>
        <v>0</v>
      </c>
      <c r="H36" s="297">
        <f>'11.F&amp;V Crop Production details'!H47</f>
        <v>0</v>
      </c>
    </row>
    <row r="37" spans="1:8" ht="14.25" hidden="1" customHeight="1">
      <c r="A37" s="297" t="str">
        <f>'11.F&amp;V Crop Production details'!A48</f>
        <v>Okra</v>
      </c>
      <c r="B37" s="297">
        <f>'11.F&amp;V Crop Production details'!B48</f>
        <v>0</v>
      </c>
      <c r="C37" s="297">
        <f>'11.F&amp;V Crop Production details'!C48</f>
        <v>0</v>
      </c>
      <c r="D37" s="297">
        <f>'11.F&amp;V Crop Production details'!D48</f>
        <v>0</v>
      </c>
      <c r="E37" s="297">
        <f>'11.F&amp;V Crop Production details'!E48</f>
        <v>0</v>
      </c>
      <c r="F37" s="297">
        <f>'11.F&amp;V Crop Production details'!F48</f>
        <v>0</v>
      </c>
      <c r="G37" s="297">
        <f>'11.F&amp;V Crop Production details'!G48</f>
        <v>0</v>
      </c>
      <c r="H37" s="297">
        <f>'11.F&amp;V Crop Production details'!H48</f>
        <v>0</v>
      </c>
    </row>
    <row r="38" spans="1:8" ht="14.25" hidden="1" customHeight="1">
      <c r="A38" s="297" t="str">
        <f>'11.F&amp;V Crop Production details'!A49</f>
        <v>Chilli</v>
      </c>
      <c r="B38" s="297">
        <f>'11.F&amp;V Crop Production details'!B49</f>
        <v>0</v>
      </c>
      <c r="C38" s="297">
        <f>'11.F&amp;V Crop Production details'!C49</f>
        <v>0</v>
      </c>
      <c r="D38" s="297">
        <f>'11.F&amp;V Crop Production details'!D49</f>
        <v>0</v>
      </c>
      <c r="E38" s="297">
        <f>'11.F&amp;V Crop Production details'!E49</f>
        <v>0</v>
      </c>
      <c r="F38" s="297">
        <f>'11.F&amp;V Crop Production details'!F49</f>
        <v>0</v>
      </c>
      <c r="G38" s="297">
        <f>'11.F&amp;V Crop Production details'!G49</f>
        <v>0</v>
      </c>
      <c r="H38" s="297">
        <f>'11.F&amp;V Crop Production details'!H49</f>
        <v>0</v>
      </c>
    </row>
    <row r="39" spans="1:8" ht="14.25" hidden="1" customHeight="1">
      <c r="A39" s="297" t="str">
        <f>'11.F&amp;V Crop Production details'!A50</f>
        <v>Potato</v>
      </c>
      <c r="B39" s="297">
        <f>'11.F&amp;V Crop Production details'!B50</f>
        <v>0</v>
      </c>
      <c r="C39" s="297">
        <f>'11.F&amp;V Crop Production details'!C50</f>
        <v>0</v>
      </c>
      <c r="D39" s="297">
        <f>'11.F&amp;V Crop Production details'!D50</f>
        <v>0</v>
      </c>
      <c r="E39" s="297">
        <f>'11.F&amp;V Crop Production details'!E50</f>
        <v>0</v>
      </c>
      <c r="F39" s="297">
        <f>'11.F&amp;V Crop Production details'!F50</f>
        <v>0</v>
      </c>
      <c r="G39" s="297">
        <f>'11.F&amp;V Crop Production details'!G50</f>
        <v>0</v>
      </c>
      <c r="H39" s="297">
        <f>'11.F&amp;V Crop Production details'!H50</f>
        <v>0</v>
      </c>
    </row>
    <row r="40" spans="1:8" ht="14.25" hidden="1" customHeight="1">
      <c r="A40" s="297">
        <f>'11.F&amp;V Crop Production details'!A51</f>
        <v>0</v>
      </c>
      <c r="B40" s="297">
        <f>'11.F&amp;V Crop Production details'!B51</f>
        <v>0</v>
      </c>
      <c r="C40" s="297">
        <f>'11.F&amp;V Crop Production details'!C51</f>
        <v>0</v>
      </c>
      <c r="D40" s="297">
        <f>'11.F&amp;V Crop Production details'!D51</f>
        <v>0</v>
      </c>
      <c r="E40" s="297">
        <f>'11.F&amp;V Crop Production details'!E51</f>
        <v>0</v>
      </c>
      <c r="F40" s="297">
        <f>'11.F&amp;V Crop Production details'!F51</f>
        <v>0</v>
      </c>
      <c r="G40" s="297">
        <f>'11.F&amp;V Crop Production details'!G51</f>
        <v>0</v>
      </c>
      <c r="H40" s="297">
        <f>'11.F&amp;V Crop Production details'!H51</f>
        <v>0</v>
      </c>
    </row>
    <row r="41" spans="1:8" ht="14.25" hidden="1" customHeight="1">
      <c r="A41" s="297">
        <f>'11.F&amp;V Crop Production details'!A52</f>
        <v>0</v>
      </c>
      <c r="B41" s="297">
        <f>'11.F&amp;V Crop Production details'!B52</f>
        <v>0</v>
      </c>
      <c r="C41" s="297">
        <f>'11.F&amp;V Crop Production details'!C52</f>
        <v>0</v>
      </c>
      <c r="D41" s="297">
        <f>'11.F&amp;V Crop Production details'!D52</f>
        <v>0</v>
      </c>
      <c r="E41" s="297">
        <f>'11.F&amp;V Crop Production details'!E52</f>
        <v>0</v>
      </c>
      <c r="F41" s="297">
        <f>'11.F&amp;V Crop Production details'!F52</f>
        <v>0</v>
      </c>
      <c r="G41" s="297">
        <f>'11.F&amp;V Crop Production details'!G52</f>
        <v>0</v>
      </c>
      <c r="H41" s="297">
        <f>'11.F&amp;V Crop Production details'!H52</f>
        <v>0</v>
      </c>
    </row>
    <row r="42" spans="1:8" ht="14.25" hidden="1" customHeight="1">
      <c r="A42" s="297">
        <f>'11.F&amp;V Crop Production details'!A53</f>
        <v>0</v>
      </c>
      <c r="B42" s="297">
        <f>'11.F&amp;V Crop Production details'!B53</f>
        <v>0</v>
      </c>
      <c r="C42" s="297">
        <f>'11.F&amp;V Crop Production details'!C53</f>
        <v>0</v>
      </c>
      <c r="D42" s="297">
        <f>'11.F&amp;V Crop Production details'!D53</f>
        <v>0</v>
      </c>
      <c r="E42" s="297">
        <f>'11.F&amp;V Crop Production details'!E53</f>
        <v>0</v>
      </c>
      <c r="F42" s="297">
        <f>'11.F&amp;V Crop Production details'!F53</f>
        <v>0</v>
      </c>
      <c r="G42" s="297">
        <f>'11.F&amp;V Crop Production details'!G53</f>
        <v>0</v>
      </c>
      <c r="H42" s="297">
        <f>'11.F&amp;V Crop Production details'!H53</f>
        <v>0</v>
      </c>
    </row>
    <row r="43" spans="1:8" ht="14.25" hidden="1" customHeight="1">
      <c r="A43" s="297">
        <f>'11.F&amp;V Crop Production details'!A54</f>
        <v>0</v>
      </c>
      <c r="B43" s="297">
        <f>'11.F&amp;V Crop Production details'!B54</f>
        <v>0</v>
      </c>
      <c r="C43" s="297">
        <f>'11.F&amp;V Crop Production details'!C54</f>
        <v>0</v>
      </c>
      <c r="D43" s="297">
        <f>'11.F&amp;V Crop Production details'!D54</f>
        <v>0</v>
      </c>
      <c r="E43" s="297">
        <f>'11.F&amp;V Crop Production details'!E54</f>
        <v>0</v>
      </c>
      <c r="F43" s="297">
        <f>'11.F&amp;V Crop Production details'!F54</f>
        <v>0</v>
      </c>
      <c r="G43" s="297">
        <f>'11.F&amp;V Crop Production details'!G54</f>
        <v>0</v>
      </c>
      <c r="H43" s="297">
        <f>'11.F&amp;V Crop Production details'!H54</f>
        <v>0</v>
      </c>
    </row>
    <row r="44" spans="1:8" ht="14.25" hidden="1" customHeight="1">
      <c r="A44" s="297" t="str">
        <f>'11.F&amp;V Crop Production details'!A55</f>
        <v>Onion</v>
      </c>
      <c r="B44" s="297">
        <f>'11.F&amp;V Crop Production details'!B55</f>
        <v>0</v>
      </c>
      <c r="C44" s="297">
        <f>'11.F&amp;V Crop Production details'!C55</f>
        <v>0</v>
      </c>
      <c r="D44" s="297">
        <f>'11.F&amp;V Crop Production details'!D55</f>
        <v>0</v>
      </c>
      <c r="E44" s="297">
        <f>'11.F&amp;V Crop Production details'!E55</f>
        <v>0</v>
      </c>
      <c r="F44" s="297">
        <f>'11.F&amp;V Crop Production details'!F55</f>
        <v>0</v>
      </c>
      <c r="G44" s="297">
        <f>'11.F&amp;V Crop Production details'!G55</f>
        <v>0</v>
      </c>
      <c r="H44" s="297">
        <f>'11.F&amp;V Crop Production details'!H55</f>
        <v>0</v>
      </c>
    </row>
    <row r="45" spans="1:8" ht="14.25" hidden="1" customHeight="1">
      <c r="A45" s="297" t="str">
        <f>'11.F&amp;V Crop Production details'!A56</f>
        <v>Tomato</v>
      </c>
      <c r="B45" s="297">
        <f>'11.F&amp;V Crop Production details'!B56</f>
        <v>0</v>
      </c>
      <c r="C45" s="297">
        <f>'11.F&amp;V Crop Production details'!C56</f>
        <v>0</v>
      </c>
      <c r="D45" s="297">
        <f>'11.F&amp;V Crop Production details'!D56</f>
        <v>0</v>
      </c>
      <c r="E45" s="297">
        <f>'11.F&amp;V Crop Production details'!E56</f>
        <v>0</v>
      </c>
      <c r="F45" s="297">
        <f>'11.F&amp;V Crop Production details'!F56</f>
        <v>0</v>
      </c>
      <c r="G45" s="297">
        <f>'11.F&amp;V Crop Production details'!G56</f>
        <v>0</v>
      </c>
      <c r="H45" s="297">
        <f>'11.F&amp;V Crop Production details'!H56</f>
        <v>0</v>
      </c>
    </row>
    <row r="46" spans="1:8" ht="14.25" hidden="1" customHeight="1">
      <c r="A46" s="297" t="str">
        <f>'11.F&amp;V Crop Production details'!A57</f>
        <v>Okra</v>
      </c>
      <c r="B46" s="297">
        <f>'11.F&amp;V Crop Production details'!B57</f>
        <v>0</v>
      </c>
      <c r="C46" s="297">
        <f>'11.F&amp;V Crop Production details'!C57</f>
        <v>0</v>
      </c>
      <c r="D46" s="297">
        <f>'11.F&amp;V Crop Production details'!D57</f>
        <v>0</v>
      </c>
      <c r="E46" s="297">
        <f>'11.F&amp;V Crop Production details'!E57</f>
        <v>0</v>
      </c>
      <c r="F46" s="297">
        <f>'11.F&amp;V Crop Production details'!F57</f>
        <v>0</v>
      </c>
      <c r="G46" s="297">
        <f>'11.F&amp;V Crop Production details'!G57</f>
        <v>0</v>
      </c>
      <c r="H46" s="297">
        <f>'11.F&amp;V Crop Production details'!H57</f>
        <v>0</v>
      </c>
    </row>
    <row r="47" spans="1:8" ht="14.25" hidden="1" customHeight="1">
      <c r="A47" s="297" t="str">
        <f>'11.F&amp;V Crop Production details'!A58</f>
        <v>Chilli</v>
      </c>
      <c r="B47" s="297">
        <f>'11.F&amp;V Crop Production details'!B58</f>
        <v>0</v>
      </c>
      <c r="C47" s="297">
        <f>'11.F&amp;V Crop Production details'!C58</f>
        <v>0</v>
      </c>
      <c r="D47" s="297">
        <f>'11.F&amp;V Crop Production details'!D58</f>
        <v>0</v>
      </c>
      <c r="E47" s="297">
        <f>'11.F&amp;V Crop Production details'!E58</f>
        <v>0</v>
      </c>
      <c r="F47" s="297">
        <f>'11.F&amp;V Crop Production details'!F58</f>
        <v>0</v>
      </c>
      <c r="G47" s="297">
        <f>'11.F&amp;V Crop Production details'!G58</f>
        <v>0</v>
      </c>
      <c r="H47" s="297">
        <f>'11.F&amp;V Crop Production details'!H58</f>
        <v>0</v>
      </c>
    </row>
    <row r="48" spans="1:8" ht="14.25" hidden="1" customHeight="1">
      <c r="A48" s="297" t="str">
        <f>'11.F&amp;V Crop Production details'!A59</f>
        <v>Brinjal</v>
      </c>
      <c r="B48" s="297">
        <f>'11.F&amp;V Crop Production details'!B59</f>
        <v>0</v>
      </c>
      <c r="C48" s="297">
        <f>'11.F&amp;V Crop Production details'!C59</f>
        <v>0</v>
      </c>
      <c r="D48" s="297">
        <f>'11.F&amp;V Crop Production details'!D59</f>
        <v>0</v>
      </c>
      <c r="E48" s="297">
        <f>'11.F&amp;V Crop Production details'!E59</f>
        <v>0</v>
      </c>
      <c r="F48" s="297">
        <f>'11.F&amp;V Crop Production details'!F59</f>
        <v>0</v>
      </c>
      <c r="G48" s="297">
        <f>'11.F&amp;V Crop Production details'!G59</f>
        <v>0</v>
      </c>
      <c r="H48" s="297">
        <f>'11.F&amp;V Crop Production details'!H59</f>
        <v>0</v>
      </c>
    </row>
    <row r="49" spans="1:8" ht="14.25" hidden="1" customHeight="1">
      <c r="A49" s="297">
        <f>'11.F&amp;V Crop Production details'!A60</f>
        <v>0</v>
      </c>
      <c r="B49" s="297">
        <f>'11.F&amp;V Crop Production details'!B60</f>
        <v>0</v>
      </c>
      <c r="C49" s="297">
        <f>'11.F&amp;V Crop Production details'!C60</f>
        <v>0</v>
      </c>
      <c r="D49" s="297">
        <f>'11.F&amp;V Crop Production details'!D60</f>
        <v>0</v>
      </c>
      <c r="E49" s="297">
        <f>'11.F&amp;V Crop Production details'!E60</f>
        <v>0</v>
      </c>
      <c r="F49" s="297">
        <f>'11.F&amp;V Crop Production details'!F60</f>
        <v>0</v>
      </c>
      <c r="G49" s="297">
        <f>'11.F&amp;V Crop Production details'!G60</f>
        <v>0</v>
      </c>
      <c r="H49" s="297">
        <f>'11.F&amp;V Crop Production details'!H60</f>
        <v>0</v>
      </c>
    </row>
    <row r="50" spans="1:8" ht="14.25" hidden="1" customHeight="1">
      <c r="A50" s="297">
        <f>'11.F&amp;V Crop Production details'!A61</f>
        <v>0</v>
      </c>
      <c r="B50" s="297">
        <f>'11.F&amp;V Crop Production details'!B61</f>
        <v>0</v>
      </c>
      <c r="C50" s="297">
        <f>'11.F&amp;V Crop Production details'!C61</f>
        <v>0</v>
      </c>
      <c r="D50" s="297">
        <f>'11.F&amp;V Crop Production details'!D61</f>
        <v>0</v>
      </c>
      <c r="E50" s="297">
        <f>'11.F&amp;V Crop Production details'!E61</f>
        <v>0</v>
      </c>
      <c r="F50" s="297">
        <f>'11.F&amp;V Crop Production details'!F61</f>
        <v>0</v>
      </c>
      <c r="G50" s="297">
        <f>'11.F&amp;V Crop Production details'!G61</f>
        <v>0</v>
      </c>
      <c r="H50" s="297">
        <f>'11.F&amp;V Crop Production details'!H61</f>
        <v>0</v>
      </c>
    </row>
    <row r="51" spans="1:8" ht="14.25" hidden="1" customHeight="1">
      <c r="A51" s="297">
        <f>'11.F&amp;V Crop Production details'!A62</f>
        <v>0</v>
      </c>
      <c r="B51" s="297">
        <f>'11.F&amp;V Crop Production details'!B62</f>
        <v>0</v>
      </c>
      <c r="C51" s="297">
        <f>'11.F&amp;V Crop Production details'!C62</f>
        <v>0</v>
      </c>
      <c r="D51" s="297">
        <f>'11.F&amp;V Crop Production details'!D62</f>
        <v>0</v>
      </c>
      <c r="E51" s="297">
        <f>'11.F&amp;V Crop Production details'!E62</f>
        <v>0</v>
      </c>
      <c r="F51" s="297">
        <f>'11.F&amp;V Crop Production details'!F62</f>
        <v>0</v>
      </c>
      <c r="G51" s="297">
        <f>'11.F&amp;V Crop Production details'!G62</f>
        <v>0</v>
      </c>
      <c r="H51" s="297">
        <f>'11.F&amp;V Crop Production details'!H62</f>
        <v>0</v>
      </c>
    </row>
    <row r="52" spans="1:8" ht="14.25" hidden="1" customHeight="1">
      <c r="A52" s="297">
        <f>'11.F&amp;V Crop Production details'!A63</f>
        <v>0</v>
      </c>
      <c r="B52" s="297">
        <f>'11.F&amp;V Crop Production details'!B63</f>
        <v>0</v>
      </c>
      <c r="C52" s="297">
        <f>'11.F&amp;V Crop Production details'!C63</f>
        <v>0</v>
      </c>
      <c r="D52" s="297">
        <f>'11.F&amp;V Crop Production details'!D63</f>
        <v>0</v>
      </c>
      <c r="E52" s="297">
        <f>'11.F&amp;V Crop Production details'!E63</f>
        <v>0</v>
      </c>
      <c r="F52" s="297">
        <f>'11.F&amp;V Crop Production details'!F63</f>
        <v>0</v>
      </c>
      <c r="G52" s="297">
        <f>'11.F&amp;V Crop Production details'!G63</f>
        <v>0</v>
      </c>
      <c r="H52" s="297">
        <f>'11.F&amp;V Crop Production details'!H63</f>
        <v>0</v>
      </c>
    </row>
    <row r="53" spans="1:8" ht="14.25" hidden="1" customHeight="1">
      <c r="A53" s="297">
        <f>'11.F&amp;V Crop Production details'!A64</f>
        <v>0</v>
      </c>
      <c r="B53" s="297"/>
      <c r="C53" s="297"/>
      <c r="D53" s="297"/>
      <c r="E53" s="297"/>
      <c r="F53" s="297"/>
      <c r="G53" s="297"/>
      <c r="H53" s="297"/>
    </row>
    <row r="54" spans="1:8" ht="14.25" hidden="1" customHeight="1">
      <c r="A54" s="297">
        <f>'11.F&amp;V Crop Production details'!A65</f>
        <v>0</v>
      </c>
      <c r="B54" s="297"/>
      <c r="C54" s="297"/>
      <c r="D54" s="297"/>
      <c r="E54" s="297"/>
      <c r="F54" s="297"/>
      <c r="G54" s="297"/>
      <c r="H54" s="297"/>
    </row>
    <row r="55" spans="1:8" ht="14.25" hidden="1" customHeight="1">
      <c r="A55" s="297">
        <f>'11.F&amp;V Crop Production details'!A66</f>
        <v>0</v>
      </c>
      <c r="B55" s="297"/>
      <c r="C55" s="297"/>
      <c r="D55" s="297"/>
      <c r="E55" s="297"/>
      <c r="F55" s="297"/>
      <c r="G55" s="297"/>
      <c r="H55" s="297"/>
    </row>
    <row r="56" spans="1:8" ht="14.25" hidden="1" customHeight="1">
      <c r="A56" s="297" t="str">
        <f>'11.F&amp;V Crop Production details'!A67</f>
        <v>Pomegranate</v>
      </c>
      <c r="B56" s="297">
        <f>'11.F&amp;V Crop Production details'!B67</f>
        <v>0</v>
      </c>
      <c r="C56" s="297">
        <f>'11.F&amp;V Crop Production details'!C67</f>
        <v>0</v>
      </c>
      <c r="D56" s="297">
        <f>'11.F&amp;V Crop Production details'!D67</f>
        <v>0</v>
      </c>
      <c r="E56" s="297">
        <f>'11.F&amp;V Crop Production details'!E67</f>
        <v>0</v>
      </c>
      <c r="F56" s="297">
        <f>'11.F&amp;V Crop Production details'!F67</f>
        <v>0</v>
      </c>
      <c r="G56" s="297">
        <f>'11.F&amp;V Crop Production details'!G67</f>
        <v>0</v>
      </c>
      <c r="H56" s="297">
        <f>'11.F&amp;V Crop Production details'!H67</f>
        <v>0</v>
      </c>
    </row>
    <row r="57" spans="1:8" ht="14.25" hidden="1" customHeight="1">
      <c r="A57" s="297" t="str">
        <f>'11.F&amp;V Crop Production details'!A68</f>
        <v>Custard Apple</v>
      </c>
      <c r="B57" s="297">
        <f>'11.F&amp;V Crop Production details'!B68</f>
        <v>0</v>
      </c>
      <c r="C57" s="297">
        <f>'11.F&amp;V Crop Production details'!C68</f>
        <v>0</v>
      </c>
      <c r="D57" s="297">
        <f>'11.F&amp;V Crop Production details'!D68</f>
        <v>0</v>
      </c>
      <c r="E57" s="297">
        <f>'11.F&amp;V Crop Production details'!E68</f>
        <v>0</v>
      </c>
      <c r="F57" s="297">
        <f>'11.F&amp;V Crop Production details'!F68</f>
        <v>0</v>
      </c>
      <c r="G57" s="297">
        <f>'11.F&amp;V Crop Production details'!G68</f>
        <v>0</v>
      </c>
      <c r="H57" s="297">
        <f>'11.F&amp;V Crop Production details'!H68</f>
        <v>0</v>
      </c>
    </row>
    <row r="58" spans="1:8" ht="14.25" hidden="1" customHeight="1">
      <c r="A58" s="297" t="str">
        <f>'11.F&amp;V Crop Production details'!A69</f>
        <v>Guava</v>
      </c>
      <c r="B58" s="297">
        <f>'11.F&amp;V Crop Production details'!B69</f>
        <v>0</v>
      </c>
      <c r="C58" s="297">
        <f>'11.F&amp;V Crop Production details'!C69</f>
        <v>0</v>
      </c>
      <c r="D58" s="297">
        <f>'11.F&amp;V Crop Production details'!D69</f>
        <v>0</v>
      </c>
      <c r="E58" s="297">
        <f>'11.F&amp;V Crop Production details'!E69</f>
        <v>0</v>
      </c>
      <c r="F58" s="297">
        <f>'11.F&amp;V Crop Production details'!F69</f>
        <v>0</v>
      </c>
      <c r="G58" s="297">
        <f>'11.F&amp;V Crop Production details'!G69</f>
        <v>0</v>
      </c>
      <c r="H58" s="297">
        <f>'11.F&amp;V Crop Production details'!H69</f>
        <v>0</v>
      </c>
    </row>
    <row r="59" spans="1:8" ht="14.25" hidden="1" customHeight="1">
      <c r="A59" s="297" t="str">
        <f>'11.F&amp;V Crop Production details'!A70</f>
        <v>Citrus</v>
      </c>
      <c r="B59" s="297">
        <f>'11.F&amp;V Crop Production details'!B70</f>
        <v>0</v>
      </c>
      <c r="C59" s="297">
        <f>'11.F&amp;V Crop Production details'!C70</f>
        <v>0</v>
      </c>
      <c r="D59" s="297">
        <f>'11.F&amp;V Crop Production details'!D70</f>
        <v>0</v>
      </c>
      <c r="E59" s="297">
        <f>'11.F&amp;V Crop Production details'!E70</f>
        <v>0</v>
      </c>
      <c r="F59" s="297">
        <f>'11.F&amp;V Crop Production details'!F70</f>
        <v>0</v>
      </c>
      <c r="G59" s="297">
        <f>'11.F&amp;V Crop Production details'!G70</f>
        <v>0</v>
      </c>
      <c r="H59" s="297">
        <f>'11.F&amp;V Crop Production details'!H70</f>
        <v>0</v>
      </c>
    </row>
    <row r="60" spans="1:8" ht="14.25" hidden="1" customHeight="1">
      <c r="A60" s="297"/>
      <c r="B60" s="297"/>
      <c r="C60" s="297"/>
      <c r="D60" s="297"/>
      <c r="E60" s="297"/>
      <c r="F60" s="297"/>
      <c r="G60" s="297"/>
      <c r="H60" s="297"/>
    </row>
    <row r="61" spans="1:8" ht="14.25" hidden="1" customHeight="1">
      <c r="A61" s="98" t="s">
        <v>624</v>
      </c>
      <c r="B61" s="297">
        <f t="shared" ref="B61:H61" si="2">SUM(B35:B59)</f>
        <v>0</v>
      </c>
      <c r="C61" s="297">
        <f t="shared" si="2"/>
        <v>0</v>
      </c>
      <c r="D61" s="297">
        <f t="shared" si="2"/>
        <v>0</v>
      </c>
      <c r="E61" s="297">
        <f t="shared" si="2"/>
        <v>0</v>
      </c>
      <c r="F61" s="297">
        <f t="shared" si="2"/>
        <v>0</v>
      </c>
      <c r="G61" s="297">
        <f t="shared" si="2"/>
        <v>0</v>
      </c>
      <c r="H61" s="297">
        <f t="shared" si="2"/>
        <v>0</v>
      </c>
    </row>
    <row r="62" spans="1:8" ht="14.25" hidden="1" customHeight="1">
      <c r="A62" s="298" t="s">
        <v>625</v>
      </c>
      <c r="B62" s="299">
        <v>0</v>
      </c>
      <c r="C62" s="299">
        <v>0</v>
      </c>
      <c r="D62" s="299">
        <v>0</v>
      </c>
      <c r="E62" s="299">
        <v>0</v>
      </c>
      <c r="F62" s="299">
        <v>0</v>
      </c>
      <c r="G62" s="299">
        <v>0</v>
      </c>
      <c r="H62" s="299">
        <v>0</v>
      </c>
    </row>
    <row r="63" spans="1:8" ht="14.25" hidden="1" customHeight="1">
      <c r="A63" s="298" t="s">
        <v>626</v>
      </c>
      <c r="B63" s="299">
        <f t="shared" ref="B63:H63" si="3">1-B62</f>
        <v>1</v>
      </c>
      <c r="C63" s="299">
        <f t="shared" si="3"/>
        <v>1</v>
      </c>
      <c r="D63" s="299">
        <f t="shared" si="3"/>
        <v>1</v>
      </c>
      <c r="E63" s="299">
        <f t="shared" si="3"/>
        <v>1</v>
      </c>
      <c r="F63" s="299">
        <f t="shared" si="3"/>
        <v>1</v>
      </c>
      <c r="G63" s="299">
        <f t="shared" si="3"/>
        <v>1</v>
      </c>
      <c r="H63" s="299">
        <f t="shared" si="3"/>
        <v>1</v>
      </c>
    </row>
    <row r="64" spans="1:8" ht="14.25" hidden="1" customHeight="1">
      <c r="A64" s="298"/>
      <c r="B64" s="299"/>
      <c r="C64" s="299"/>
      <c r="D64" s="299"/>
      <c r="E64" s="299"/>
      <c r="F64" s="299"/>
      <c r="G64" s="299"/>
      <c r="H64" s="299"/>
    </row>
    <row r="65" spans="1:8" ht="14.25" hidden="1" customHeight="1">
      <c r="A65" s="298" t="s">
        <v>627</v>
      </c>
      <c r="B65" s="300">
        <f t="shared" ref="B65:H65" si="4">B33*B62</f>
        <v>0</v>
      </c>
      <c r="C65" s="300">
        <f t="shared" si="4"/>
        <v>0</v>
      </c>
      <c r="D65" s="300">
        <f t="shared" si="4"/>
        <v>0</v>
      </c>
      <c r="E65" s="300">
        <f t="shared" si="4"/>
        <v>0</v>
      </c>
      <c r="F65" s="300">
        <f t="shared" si="4"/>
        <v>0</v>
      </c>
      <c r="G65" s="300">
        <f t="shared" si="4"/>
        <v>0</v>
      </c>
      <c r="H65" s="300">
        <f t="shared" si="4"/>
        <v>0</v>
      </c>
    </row>
    <row r="66" spans="1:8" ht="14.25" customHeight="1">
      <c r="A66" s="98"/>
      <c r="B66" s="297"/>
      <c r="C66" s="297"/>
      <c r="D66" s="297"/>
      <c r="E66" s="297"/>
      <c r="F66" s="297"/>
      <c r="G66" s="297"/>
      <c r="H66" s="297"/>
    </row>
    <row r="67" spans="1:8" ht="14.25" customHeight="1">
      <c r="A67" s="98" t="s">
        <v>628</v>
      </c>
      <c r="B67" s="297"/>
      <c r="C67" s="297"/>
      <c r="D67" s="297"/>
      <c r="E67" s="297"/>
      <c r="F67" s="297"/>
      <c r="G67" s="297"/>
      <c r="H67" s="297"/>
    </row>
    <row r="68" spans="1:8" ht="14.25" hidden="1" customHeight="1">
      <c r="A68" s="301" t="str">
        <f t="shared" ref="A68:A89" si="5">A11</f>
        <v>Soybean</v>
      </c>
      <c r="B68" s="301">
        <f t="shared" ref="B68:B89" si="6">B11*$B$63</f>
        <v>0</v>
      </c>
      <c r="C68" s="301">
        <f t="shared" ref="C68:C83" si="7">C11*$C$63</f>
        <v>0</v>
      </c>
      <c r="D68" s="301">
        <f t="shared" ref="D68:D83" si="8">D11*$D$63</f>
        <v>0</v>
      </c>
      <c r="E68" s="301">
        <f t="shared" ref="E68:E83" si="9">E11*$E$63</f>
        <v>0</v>
      </c>
      <c r="F68" s="301">
        <f t="shared" ref="F68:F83" si="10">F11*$F$63</f>
        <v>0</v>
      </c>
      <c r="G68" s="301">
        <f t="shared" ref="G68:G83" si="11">G11*$G$63</f>
        <v>0</v>
      </c>
      <c r="H68" s="301">
        <f t="shared" ref="H68:H83" si="12">H11*$H$63</f>
        <v>0</v>
      </c>
    </row>
    <row r="69" spans="1:8" ht="14.25" hidden="1" customHeight="1">
      <c r="A69" s="301" t="str">
        <f t="shared" si="5"/>
        <v>Red Gram/Tur</v>
      </c>
      <c r="B69" s="301">
        <f t="shared" si="6"/>
        <v>0</v>
      </c>
      <c r="C69" s="301">
        <f t="shared" si="7"/>
        <v>0</v>
      </c>
      <c r="D69" s="301">
        <f t="shared" si="8"/>
        <v>0</v>
      </c>
      <c r="E69" s="301">
        <f t="shared" si="9"/>
        <v>0</v>
      </c>
      <c r="F69" s="301">
        <f t="shared" si="10"/>
        <v>0</v>
      </c>
      <c r="G69" s="301">
        <f t="shared" si="11"/>
        <v>0</v>
      </c>
      <c r="H69" s="301">
        <f t="shared" si="12"/>
        <v>0</v>
      </c>
    </row>
    <row r="70" spans="1:8" ht="14.25" hidden="1" customHeight="1">
      <c r="A70" s="301" t="str">
        <f t="shared" si="5"/>
        <v>Paddy/Rice</v>
      </c>
      <c r="B70" s="301">
        <f t="shared" si="6"/>
        <v>0</v>
      </c>
      <c r="C70" s="301">
        <f t="shared" si="7"/>
        <v>0</v>
      </c>
      <c r="D70" s="301">
        <f t="shared" si="8"/>
        <v>0</v>
      </c>
      <c r="E70" s="301">
        <f t="shared" si="9"/>
        <v>0</v>
      </c>
      <c r="F70" s="301">
        <f t="shared" si="10"/>
        <v>0</v>
      </c>
      <c r="G70" s="301">
        <f t="shared" si="11"/>
        <v>0</v>
      </c>
      <c r="H70" s="301">
        <f t="shared" si="12"/>
        <v>0</v>
      </c>
    </row>
    <row r="71" spans="1:8" ht="14.25" hidden="1" customHeight="1">
      <c r="A71" s="301" t="str">
        <f t="shared" si="5"/>
        <v>Green Gram/ Moong</v>
      </c>
      <c r="B71" s="301">
        <f t="shared" si="6"/>
        <v>0</v>
      </c>
      <c r="C71" s="301">
        <f t="shared" si="7"/>
        <v>0</v>
      </c>
      <c r="D71" s="301">
        <f t="shared" si="8"/>
        <v>0</v>
      </c>
      <c r="E71" s="301">
        <f t="shared" si="9"/>
        <v>0</v>
      </c>
      <c r="F71" s="301">
        <f t="shared" si="10"/>
        <v>0</v>
      </c>
      <c r="G71" s="301">
        <f t="shared" si="11"/>
        <v>0</v>
      </c>
      <c r="H71" s="301">
        <f t="shared" si="12"/>
        <v>0</v>
      </c>
    </row>
    <row r="72" spans="1:8" ht="14.25" hidden="1" customHeight="1">
      <c r="A72" s="301" t="str">
        <f t="shared" si="5"/>
        <v>Maize</v>
      </c>
      <c r="B72" s="301">
        <f t="shared" si="6"/>
        <v>0</v>
      </c>
      <c r="C72" s="301">
        <f t="shared" si="7"/>
        <v>0</v>
      </c>
      <c r="D72" s="301">
        <f t="shared" si="8"/>
        <v>0</v>
      </c>
      <c r="E72" s="301">
        <f t="shared" si="9"/>
        <v>0</v>
      </c>
      <c r="F72" s="301">
        <f t="shared" si="10"/>
        <v>0</v>
      </c>
      <c r="G72" s="301">
        <f t="shared" si="11"/>
        <v>0</v>
      </c>
      <c r="H72" s="301">
        <f t="shared" si="12"/>
        <v>0</v>
      </c>
    </row>
    <row r="73" spans="1:8" ht="14.25" hidden="1" customHeight="1">
      <c r="A73" s="301" t="str">
        <f t="shared" si="5"/>
        <v>Black Gram/Udid</v>
      </c>
      <c r="B73" s="301">
        <f t="shared" si="6"/>
        <v>0</v>
      </c>
      <c r="C73" s="301">
        <f t="shared" si="7"/>
        <v>0</v>
      </c>
      <c r="D73" s="301">
        <f t="shared" si="8"/>
        <v>0</v>
      </c>
      <c r="E73" s="301">
        <f t="shared" si="9"/>
        <v>0</v>
      </c>
      <c r="F73" s="301">
        <f t="shared" si="10"/>
        <v>0</v>
      </c>
      <c r="G73" s="301">
        <f t="shared" si="11"/>
        <v>0</v>
      </c>
      <c r="H73" s="301">
        <f t="shared" si="12"/>
        <v>0</v>
      </c>
    </row>
    <row r="74" spans="1:8" ht="14.25" hidden="1" customHeight="1">
      <c r="A74" s="301" t="str">
        <f t="shared" si="5"/>
        <v>Bajra</v>
      </c>
      <c r="B74" s="301">
        <f t="shared" si="6"/>
        <v>0</v>
      </c>
      <c r="C74" s="301">
        <f t="shared" si="7"/>
        <v>0</v>
      </c>
      <c r="D74" s="301">
        <f t="shared" si="8"/>
        <v>0</v>
      </c>
      <c r="E74" s="301">
        <f t="shared" si="9"/>
        <v>0</v>
      </c>
      <c r="F74" s="301">
        <f t="shared" si="10"/>
        <v>0</v>
      </c>
      <c r="G74" s="301">
        <f t="shared" si="11"/>
        <v>0</v>
      </c>
      <c r="H74" s="301">
        <f t="shared" si="12"/>
        <v>0</v>
      </c>
    </row>
    <row r="75" spans="1:8" ht="14.25" customHeight="1">
      <c r="A75" s="301" t="str">
        <f t="shared" si="5"/>
        <v>Jawar</v>
      </c>
      <c r="B75" s="301">
        <f t="shared" si="6"/>
        <v>3880.5</v>
      </c>
      <c r="C75" s="301">
        <f t="shared" si="7"/>
        <v>4527.25</v>
      </c>
      <c r="D75" s="301">
        <f t="shared" si="8"/>
        <v>5174</v>
      </c>
      <c r="E75" s="301">
        <f t="shared" si="9"/>
        <v>5820.75</v>
      </c>
      <c r="F75" s="301">
        <f t="shared" si="10"/>
        <v>6467.5</v>
      </c>
      <c r="G75" s="301">
        <f t="shared" si="11"/>
        <v>7114.25</v>
      </c>
      <c r="H75" s="301">
        <f t="shared" si="12"/>
        <v>7761.0000000000009</v>
      </c>
    </row>
    <row r="76" spans="1:8" ht="14.25" hidden="1" customHeight="1">
      <c r="A76" s="301" t="str">
        <f t="shared" si="5"/>
        <v>Sunflower</v>
      </c>
      <c r="B76" s="301">
        <f t="shared" si="6"/>
        <v>0</v>
      </c>
      <c r="C76" s="301">
        <f t="shared" si="7"/>
        <v>0</v>
      </c>
      <c r="D76" s="301">
        <f t="shared" si="8"/>
        <v>0</v>
      </c>
      <c r="E76" s="301">
        <f t="shared" si="9"/>
        <v>0</v>
      </c>
      <c r="F76" s="301">
        <f t="shared" si="10"/>
        <v>0</v>
      </c>
      <c r="G76" s="301">
        <f t="shared" si="11"/>
        <v>0</v>
      </c>
      <c r="H76" s="301">
        <f t="shared" si="12"/>
        <v>0</v>
      </c>
    </row>
    <row r="77" spans="1:8" ht="14.25" customHeight="1">
      <c r="A77" s="301" t="str">
        <f t="shared" si="5"/>
        <v>Wheat</v>
      </c>
      <c r="B77" s="301">
        <f t="shared" si="6"/>
        <v>6537.8663999999999</v>
      </c>
      <c r="C77" s="301">
        <f t="shared" si="7"/>
        <v>7627.5107999999991</v>
      </c>
      <c r="D77" s="301">
        <f t="shared" si="8"/>
        <v>8717.1551999999992</v>
      </c>
      <c r="E77" s="301">
        <f t="shared" si="9"/>
        <v>9806.7995999999985</v>
      </c>
      <c r="F77" s="301">
        <f t="shared" si="10"/>
        <v>10896.443999999998</v>
      </c>
      <c r="G77" s="301">
        <f t="shared" si="11"/>
        <v>11986.088399999999</v>
      </c>
      <c r="H77" s="301">
        <f t="shared" si="12"/>
        <v>13075.7328</v>
      </c>
    </row>
    <row r="78" spans="1:8" ht="14.25" hidden="1" customHeight="1">
      <c r="A78" s="301" t="str">
        <f t="shared" si="5"/>
        <v>Bengal Gram/Channa</v>
      </c>
      <c r="B78" s="301">
        <f t="shared" si="6"/>
        <v>0</v>
      </c>
      <c r="C78" s="301">
        <f t="shared" si="7"/>
        <v>0</v>
      </c>
      <c r="D78" s="301">
        <f t="shared" si="8"/>
        <v>0</v>
      </c>
      <c r="E78" s="301">
        <f t="shared" si="9"/>
        <v>0</v>
      </c>
      <c r="F78" s="301">
        <f t="shared" si="10"/>
        <v>0</v>
      </c>
      <c r="G78" s="301">
        <f t="shared" si="11"/>
        <v>0</v>
      </c>
      <c r="H78" s="301">
        <f t="shared" si="12"/>
        <v>0</v>
      </c>
    </row>
    <row r="79" spans="1:8" ht="14.25" hidden="1" customHeight="1">
      <c r="A79" s="301" t="str">
        <f t="shared" si="5"/>
        <v>Jawar</v>
      </c>
      <c r="B79" s="301">
        <f t="shared" si="6"/>
        <v>0</v>
      </c>
      <c r="C79" s="301">
        <f t="shared" si="7"/>
        <v>0</v>
      </c>
      <c r="D79" s="301">
        <f t="shared" si="8"/>
        <v>0</v>
      </c>
      <c r="E79" s="301">
        <f t="shared" si="9"/>
        <v>0</v>
      </c>
      <c r="F79" s="301">
        <f t="shared" si="10"/>
        <v>0</v>
      </c>
      <c r="G79" s="301">
        <f t="shared" si="11"/>
        <v>0</v>
      </c>
      <c r="H79" s="301">
        <f t="shared" si="12"/>
        <v>0</v>
      </c>
    </row>
    <row r="80" spans="1:8" ht="14.25" hidden="1" customHeight="1">
      <c r="A80" s="301" t="str">
        <f t="shared" si="5"/>
        <v>Maize</v>
      </c>
      <c r="B80" s="301">
        <f t="shared" si="6"/>
        <v>0</v>
      </c>
      <c r="C80" s="301">
        <f t="shared" si="7"/>
        <v>0</v>
      </c>
      <c r="D80" s="301">
        <f t="shared" si="8"/>
        <v>0</v>
      </c>
      <c r="E80" s="301">
        <f t="shared" si="9"/>
        <v>0</v>
      </c>
      <c r="F80" s="301">
        <f t="shared" si="10"/>
        <v>0</v>
      </c>
      <c r="G80" s="301">
        <f t="shared" si="11"/>
        <v>0</v>
      </c>
      <c r="H80" s="301">
        <f t="shared" si="12"/>
        <v>0</v>
      </c>
    </row>
    <row r="81" spans="1:12" ht="14.25" hidden="1" customHeight="1">
      <c r="A81" s="301" t="str">
        <f t="shared" si="5"/>
        <v>Safflower</v>
      </c>
      <c r="B81" s="301">
        <f t="shared" si="6"/>
        <v>0</v>
      </c>
      <c r="C81" s="301">
        <f t="shared" si="7"/>
        <v>0</v>
      </c>
      <c r="D81" s="301">
        <f t="shared" si="8"/>
        <v>0</v>
      </c>
      <c r="E81" s="301">
        <f t="shared" si="9"/>
        <v>0</v>
      </c>
      <c r="F81" s="301">
        <f t="shared" si="10"/>
        <v>0</v>
      </c>
      <c r="G81" s="301">
        <f t="shared" si="11"/>
        <v>0</v>
      </c>
      <c r="H81" s="301">
        <f t="shared" si="12"/>
        <v>0</v>
      </c>
    </row>
    <row r="82" spans="1:12" ht="14.25" hidden="1" customHeight="1">
      <c r="A82" s="301">
        <f t="shared" si="5"/>
        <v>0</v>
      </c>
      <c r="B82" s="301">
        <f t="shared" si="6"/>
        <v>0</v>
      </c>
      <c r="C82" s="301">
        <f t="shared" si="7"/>
        <v>0</v>
      </c>
      <c r="D82" s="301">
        <f t="shared" si="8"/>
        <v>0</v>
      </c>
      <c r="E82" s="301">
        <f t="shared" si="9"/>
        <v>0</v>
      </c>
      <c r="F82" s="301">
        <f t="shared" si="10"/>
        <v>0</v>
      </c>
      <c r="G82" s="301">
        <f t="shared" si="11"/>
        <v>0</v>
      </c>
      <c r="H82" s="301">
        <f t="shared" si="12"/>
        <v>0</v>
      </c>
    </row>
    <row r="83" spans="1:12" ht="14.25" hidden="1" customHeight="1">
      <c r="A83" s="301">
        <f t="shared" si="5"/>
        <v>0</v>
      </c>
      <c r="B83" s="301">
        <f t="shared" si="6"/>
        <v>0</v>
      </c>
      <c r="C83" s="301">
        <f t="shared" si="7"/>
        <v>0</v>
      </c>
      <c r="D83" s="301">
        <f t="shared" si="8"/>
        <v>0</v>
      </c>
      <c r="E83" s="301">
        <f t="shared" si="9"/>
        <v>0</v>
      </c>
      <c r="F83" s="301">
        <f t="shared" si="10"/>
        <v>0</v>
      </c>
      <c r="G83" s="301">
        <f t="shared" si="11"/>
        <v>0</v>
      </c>
      <c r="H83" s="301">
        <f t="shared" si="12"/>
        <v>0</v>
      </c>
    </row>
    <row r="84" spans="1:12" ht="14.25" hidden="1" customHeight="1">
      <c r="A84" s="301">
        <f t="shared" si="5"/>
        <v>0</v>
      </c>
      <c r="B84" s="301">
        <f t="shared" si="6"/>
        <v>0</v>
      </c>
      <c r="C84" s="301">
        <f t="shared" ref="C84:H84" si="13">C27*$B$63</f>
        <v>0</v>
      </c>
      <c r="D84" s="301">
        <f t="shared" si="13"/>
        <v>0</v>
      </c>
      <c r="E84" s="301">
        <f t="shared" si="13"/>
        <v>0</v>
      </c>
      <c r="F84" s="301">
        <f t="shared" si="13"/>
        <v>0</v>
      </c>
      <c r="G84" s="301">
        <f t="shared" si="13"/>
        <v>0</v>
      </c>
      <c r="H84" s="301">
        <f t="shared" si="13"/>
        <v>0</v>
      </c>
    </row>
    <row r="85" spans="1:12" ht="14.25" hidden="1" customHeight="1">
      <c r="A85" s="301" t="str">
        <f t="shared" si="5"/>
        <v>Groundnut</v>
      </c>
      <c r="B85" s="301">
        <f t="shared" si="6"/>
        <v>0</v>
      </c>
      <c r="C85" s="301">
        <f t="shared" ref="C85:H85" si="14">C28*$B$63</f>
        <v>0</v>
      </c>
      <c r="D85" s="301">
        <f t="shared" si="14"/>
        <v>0</v>
      </c>
      <c r="E85" s="301">
        <f t="shared" si="14"/>
        <v>0</v>
      </c>
      <c r="F85" s="301">
        <f t="shared" si="14"/>
        <v>0</v>
      </c>
      <c r="G85" s="301">
        <f t="shared" si="14"/>
        <v>0</v>
      </c>
      <c r="H85" s="301">
        <f t="shared" si="14"/>
        <v>0</v>
      </c>
    </row>
    <row r="86" spans="1:12" ht="14.25" hidden="1" customHeight="1">
      <c r="A86" s="301">
        <f t="shared" si="5"/>
        <v>0</v>
      </c>
      <c r="B86" s="301">
        <f t="shared" si="6"/>
        <v>0</v>
      </c>
      <c r="C86" s="301">
        <f t="shared" ref="C86:H86" si="15">C29*$B$63</f>
        <v>0</v>
      </c>
      <c r="D86" s="301">
        <f t="shared" si="15"/>
        <v>0</v>
      </c>
      <c r="E86" s="301">
        <f t="shared" si="15"/>
        <v>0</v>
      </c>
      <c r="F86" s="301">
        <f t="shared" si="15"/>
        <v>0</v>
      </c>
      <c r="G86" s="301">
        <f t="shared" si="15"/>
        <v>0</v>
      </c>
      <c r="H86" s="301">
        <f t="shared" si="15"/>
        <v>0</v>
      </c>
    </row>
    <row r="87" spans="1:12" ht="14.25" hidden="1" customHeight="1">
      <c r="A87" s="301">
        <f t="shared" si="5"/>
        <v>0</v>
      </c>
      <c r="B87" s="301">
        <f t="shared" si="6"/>
        <v>0</v>
      </c>
      <c r="C87" s="301">
        <f t="shared" ref="C87:H87" si="16">C30*$B$63</f>
        <v>0</v>
      </c>
      <c r="D87" s="301">
        <f t="shared" si="16"/>
        <v>0</v>
      </c>
      <c r="E87" s="301">
        <f t="shared" si="16"/>
        <v>0</v>
      </c>
      <c r="F87" s="301">
        <f t="shared" si="16"/>
        <v>0</v>
      </c>
      <c r="G87" s="301">
        <f t="shared" si="16"/>
        <v>0</v>
      </c>
      <c r="H87" s="301">
        <f t="shared" si="16"/>
        <v>0</v>
      </c>
    </row>
    <row r="88" spans="1:12" ht="14.25" hidden="1" customHeight="1">
      <c r="A88" s="301">
        <f t="shared" si="5"/>
        <v>0</v>
      </c>
      <c r="B88" s="301">
        <f t="shared" si="6"/>
        <v>0</v>
      </c>
      <c r="C88" s="301">
        <f t="shared" ref="C88:H88" si="17">C31*$B$63</f>
        <v>0</v>
      </c>
      <c r="D88" s="301">
        <f t="shared" si="17"/>
        <v>0</v>
      </c>
      <c r="E88" s="301">
        <f t="shared" si="17"/>
        <v>0</v>
      </c>
      <c r="F88" s="301">
        <f t="shared" si="17"/>
        <v>0</v>
      </c>
      <c r="G88" s="301">
        <f t="shared" si="17"/>
        <v>0</v>
      </c>
      <c r="H88" s="301">
        <f t="shared" si="17"/>
        <v>0</v>
      </c>
    </row>
    <row r="89" spans="1:12" ht="14.25" hidden="1" customHeight="1">
      <c r="A89" s="301">
        <f t="shared" si="5"/>
        <v>0</v>
      </c>
      <c r="B89" s="301">
        <f t="shared" si="6"/>
        <v>0</v>
      </c>
      <c r="C89" s="301">
        <f t="shared" ref="C89:H89" si="18">C32*$B$63</f>
        <v>0</v>
      </c>
      <c r="D89" s="301">
        <f t="shared" si="18"/>
        <v>0</v>
      </c>
      <c r="E89" s="301">
        <f t="shared" si="18"/>
        <v>0</v>
      </c>
      <c r="F89" s="301">
        <f t="shared" si="18"/>
        <v>0</v>
      </c>
      <c r="G89" s="301">
        <f t="shared" si="18"/>
        <v>0</v>
      </c>
      <c r="H89" s="301">
        <f t="shared" si="18"/>
        <v>0</v>
      </c>
    </row>
    <row r="90" spans="1:12" ht="14.25" customHeight="1">
      <c r="A90" s="56"/>
      <c r="B90" s="301"/>
      <c r="C90" s="301"/>
      <c r="D90" s="301"/>
      <c r="E90" s="301"/>
      <c r="F90" s="301"/>
      <c r="G90" s="301"/>
      <c r="H90" s="301"/>
      <c r="J90" s="54"/>
      <c r="K90" s="54"/>
      <c r="L90" s="54"/>
    </row>
    <row r="91" spans="1:12" ht="14.25" hidden="1" customHeight="1">
      <c r="A91" s="301" t="str">
        <f t="shared" ref="A91:A116" si="19">A34</f>
        <v>Fruit  &amp; Vegetables Crop Production Details</v>
      </c>
      <c r="B91" s="301"/>
      <c r="C91" s="301"/>
      <c r="D91" s="301"/>
      <c r="E91" s="301"/>
      <c r="F91" s="301"/>
      <c r="G91" s="301"/>
      <c r="H91" s="301"/>
      <c r="J91" s="54"/>
      <c r="K91" s="54"/>
      <c r="L91" s="54"/>
    </row>
    <row r="92" spans="1:12" ht="14.25" hidden="1" customHeight="1">
      <c r="A92" s="301" t="str">
        <f t="shared" si="19"/>
        <v>Onion</v>
      </c>
      <c r="B92" s="301">
        <f t="shared" ref="B92:H92" si="20">B35</f>
        <v>0</v>
      </c>
      <c r="C92" s="301">
        <f t="shared" si="20"/>
        <v>0</v>
      </c>
      <c r="D92" s="301">
        <f t="shared" si="20"/>
        <v>0</v>
      </c>
      <c r="E92" s="301">
        <f t="shared" si="20"/>
        <v>0</v>
      </c>
      <c r="F92" s="301">
        <f t="shared" si="20"/>
        <v>0</v>
      </c>
      <c r="G92" s="301">
        <f t="shared" si="20"/>
        <v>0</v>
      </c>
      <c r="H92" s="301">
        <f t="shared" si="20"/>
        <v>0</v>
      </c>
      <c r="J92" s="54"/>
      <c r="K92" s="54"/>
      <c r="L92" s="54"/>
    </row>
    <row r="93" spans="1:12" ht="14.25" hidden="1" customHeight="1">
      <c r="A93" s="301" t="str">
        <f t="shared" si="19"/>
        <v>Tomato</v>
      </c>
      <c r="B93" s="301">
        <f t="shared" ref="B93:H93" si="21">B36</f>
        <v>0</v>
      </c>
      <c r="C93" s="301">
        <f t="shared" si="21"/>
        <v>0</v>
      </c>
      <c r="D93" s="301">
        <f t="shared" si="21"/>
        <v>0</v>
      </c>
      <c r="E93" s="301">
        <f t="shared" si="21"/>
        <v>0</v>
      </c>
      <c r="F93" s="301">
        <f t="shared" si="21"/>
        <v>0</v>
      </c>
      <c r="G93" s="301">
        <f t="shared" si="21"/>
        <v>0</v>
      </c>
      <c r="H93" s="301">
        <f t="shared" si="21"/>
        <v>0</v>
      </c>
      <c r="J93" s="54"/>
      <c r="K93" s="54"/>
      <c r="L93" s="54"/>
    </row>
    <row r="94" spans="1:12" ht="14.25" hidden="1" customHeight="1">
      <c r="A94" s="301" t="str">
        <f t="shared" si="19"/>
        <v>Okra</v>
      </c>
      <c r="B94" s="301">
        <f t="shared" ref="B94:H94" si="22">B37</f>
        <v>0</v>
      </c>
      <c r="C94" s="301">
        <f t="shared" si="22"/>
        <v>0</v>
      </c>
      <c r="D94" s="301">
        <f t="shared" si="22"/>
        <v>0</v>
      </c>
      <c r="E94" s="301">
        <f t="shared" si="22"/>
        <v>0</v>
      </c>
      <c r="F94" s="301">
        <f t="shared" si="22"/>
        <v>0</v>
      </c>
      <c r="G94" s="301">
        <f t="shared" si="22"/>
        <v>0</v>
      </c>
      <c r="H94" s="301">
        <f t="shared" si="22"/>
        <v>0</v>
      </c>
      <c r="J94" s="54"/>
      <c r="K94" s="54"/>
      <c r="L94" s="54"/>
    </row>
    <row r="95" spans="1:12" ht="14.25" hidden="1" customHeight="1">
      <c r="A95" s="301" t="str">
        <f t="shared" si="19"/>
        <v>Chilli</v>
      </c>
      <c r="B95" s="301">
        <f t="shared" ref="B95:H95" si="23">B38</f>
        <v>0</v>
      </c>
      <c r="C95" s="301">
        <f t="shared" si="23"/>
        <v>0</v>
      </c>
      <c r="D95" s="301">
        <f t="shared" si="23"/>
        <v>0</v>
      </c>
      <c r="E95" s="301">
        <f t="shared" si="23"/>
        <v>0</v>
      </c>
      <c r="F95" s="301">
        <f t="shared" si="23"/>
        <v>0</v>
      </c>
      <c r="G95" s="301">
        <f t="shared" si="23"/>
        <v>0</v>
      </c>
      <c r="H95" s="301">
        <f t="shared" si="23"/>
        <v>0</v>
      </c>
      <c r="J95" s="54"/>
      <c r="K95" s="54"/>
      <c r="L95" s="54"/>
    </row>
    <row r="96" spans="1:12" ht="14.25" hidden="1" customHeight="1">
      <c r="A96" s="301" t="str">
        <f t="shared" si="19"/>
        <v>Potato</v>
      </c>
      <c r="B96" s="301">
        <f t="shared" ref="B96:H96" si="24">B39</f>
        <v>0</v>
      </c>
      <c r="C96" s="301">
        <f t="shared" si="24"/>
        <v>0</v>
      </c>
      <c r="D96" s="301">
        <f t="shared" si="24"/>
        <v>0</v>
      </c>
      <c r="E96" s="301">
        <f t="shared" si="24"/>
        <v>0</v>
      </c>
      <c r="F96" s="301">
        <f t="shared" si="24"/>
        <v>0</v>
      </c>
      <c r="G96" s="301">
        <f t="shared" si="24"/>
        <v>0</v>
      </c>
      <c r="H96" s="301">
        <f t="shared" si="24"/>
        <v>0</v>
      </c>
      <c r="J96" s="54"/>
      <c r="K96" s="54"/>
      <c r="L96" s="54"/>
    </row>
    <row r="97" spans="1:12" ht="14.25" hidden="1" customHeight="1">
      <c r="A97" s="301">
        <f t="shared" si="19"/>
        <v>0</v>
      </c>
      <c r="B97" s="301">
        <f t="shared" ref="B97:H97" si="25">B40</f>
        <v>0</v>
      </c>
      <c r="C97" s="301">
        <f t="shared" si="25"/>
        <v>0</v>
      </c>
      <c r="D97" s="301">
        <f t="shared" si="25"/>
        <v>0</v>
      </c>
      <c r="E97" s="301">
        <f t="shared" si="25"/>
        <v>0</v>
      </c>
      <c r="F97" s="301">
        <f t="shared" si="25"/>
        <v>0</v>
      </c>
      <c r="G97" s="301">
        <f t="shared" si="25"/>
        <v>0</v>
      </c>
      <c r="H97" s="301">
        <f t="shared" si="25"/>
        <v>0</v>
      </c>
      <c r="J97" s="54"/>
      <c r="K97" s="54"/>
      <c r="L97" s="54"/>
    </row>
    <row r="98" spans="1:12" ht="14.25" hidden="1" customHeight="1">
      <c r="A98" s="301">
        <f t="shared" si="19"/>
        <v>0</v>
      </c>
      <c r="B98" s="301">
        <f t="shared" ref="B98:H98" si="26">B41</f>
        <v>0</v>
      </c>
      <c r="C98" s="301">
        <f t="shared" si="26"/>
        <v>0</v>
      </c>
      <c r="D98" s="301">
        <f t="shared" si="26"/>
        <v>0</v>
      </c>
      <c r="E98" s="301">
        <f t="shared" si="26"/>
        <v>0</v>
      </c>
      <c r="F98" s="301">
        <f t="shared" si="26"/>
        <v>0</v>
      </c>
      <c r="G98" s="301">
        <f t="shared" si="26"/>
        <v>0</v>
      </c>
      <c r="H98" s="301">
        <f t="shared" si="26"/>
        <v>0</v>
      </c>
      <c r="J98" s="54"/>
      <c r="K98" s="54"/>
      <c r="L98" s="54"/>
    </row>
    <row r="99" spans="1:12" ht="14.25" hidden="1" customHeight="1">
      <c r="A99" s="301">
        <f t="shared" si="19"/>
        <v>0</v>
      </c>
      <c r="B99" s="301">
        <f t="shared" ref="B99:H99" si="27">B42</f>
        <v>0</v>
      </c>
      <c r="C99" s="301">
        <f t="shared" si="27"/>
        <v>0</v>
      </c>
      <c r="D99" s="301">
        <f t="shared" si="27"/>
        <v>0</v>
      </c>
      <c r="E99" s="301">
        <f t="shared" si="27"/>
        <v>0</v>
      </c>
      <c r="F99" s="301">
        <f t="shared" si="27"/>
        <v>0</v>
      </c>
      <c r="G99" s="301">
        <f t="shared" si="27"/>
        <v>0</v>
      </c>
      <c r="H99" s="301">
        <f t="shared" si="27"/>
        <v>0</v>
      </c>
      <c r="J99" s="54"/>
      <c r="K99" s="54"/>
      <c r="L99" s="54"/>
    </row>
    <row r="100" spans="1:12" ht="14.25" hidden="1" customHeight="1">
      <c r="A100" s="301">
        <f t="shared" si="19"/>
        <v>0</v>
      </c>
      <c r="B100" s="301">
        <f t="shared" ref="B100:H100" si="28">B43</f>
        <v>0</v>
      </c>
      <c r="C100" s="301">
        <f t="shared" si="28"/>
        <v>0</v>
      </c>
      <c r="D100" s="301">
        <f t="shared" si="28"/>
        <v>0</v>
      </c>
      <c r="E100" s="301">
        <f t="shared" si="28"/>
        <v>0</v>
      </c>
      <c r="F100" s="301">
        <f t="shared" si="28"/>
        <v>0</v>
      </c>
      <c r="G100" s="301">
        <f t="shared" si="28"/>
        <v>0</v>
      </c>
      <c r="H100" s="301">
        <f t="shared" si="28"/>
        <v>0</v>
      </c>
      <c r="J100" s="54"/>
      <c r="K100" s="54"/>
      <c r="L100" s="54"/>
    </row>
    <row r="101" spans="1:12" ht="14.25" hidden="1" customHeight="1">
      <c r="A101" s="301" t="str">
        <f t="shared" si="19"/>
        <v>Onion</v>
      </c>
      <c r="B101" s="301">
        <f t="shared" ref="B101:H101" si="29">B44</f>
        <v>0</v>
      </c>
      <c r="C101" s="301">
        <f t="shared" si="29"/>
        <v>0</v>
      </c>
      <c r="D101" s="301">
        <f t="shared" si="29"/>
        <v>0</v>
      </c>
      <c r="E101" s="301">
        <f t="shared" si="29"/>
        <v>0</v>
      </c>
      <c r="F101" s="301">
        <f t="shared" si="29"/>
        <v>0</v>
      </c>
      <c r="G101" s="301">
        <f t="shared" si="29"/>
        <v>0</v>
      </c>
      <c r="H101" s="301">
        <f t="shared" si="29"/>
        <v>0</v>
      </c>
      <c r="J101" s="54"/>
      <c r="K101" s="54"/>
      <c r="L101" s="54"/>
    </row>
    <row r="102" spans="1:12" ht="14.25" hidden="1" customHeight="1">
      <c r="A102" s="301" t="str">
        <f t="shared" si="19"/>
        <v>Tomato</v>
      </c>
      <c r="B102" s="301">
        <f t="shared" ref="B102:H102" si="30">B45</f>
        <v>0</v>
      </c>
      <c r="C102" s="301">
        <f t="shared" si="30"/>
        <v>0</v>
      </c>
      <c r="D102" s="301">
        <f t="shared" si="30"/>
        <v>0</v>
      </c>
      <c r="E102" s="301">
        <f t="shared" si="30"/>
        <v>0</v>
      </c>
      <c r="F102" s="301">
        <f t="shared" si="30"/>
        <v>0</v>
      </c>
      <c r="G102" s="301">
        <f t="shared" si="30"/>
        <v>0</v>
      </c>
      <c r="H102" s="301">
        <f t="shared" si="30"/>
        <v>0</v>
      </c>
      <c r="J102" s="54"/>
      <c r="K102" s="54"/>
      <c r="L102" s="54"/>
    </row>
    <row r="103" spans="1:12" ht="14.25" hidden="1" customHeight="1">
      <c r="A103" s="301" t="str">
        <f t="shared" si="19"/>
        <v>Okra</v>
      </c>
      <c r="B103" s="301">
        <f t="shared" ref="B103:H103" si="31">B46</f>
        <v>0</v>
      </c>
      <c r="C103" s="301">
        <f t="shared" si="31"/>
        <v>0</v>
      </c>
      <c r="D103" s="301">
        <f t="shared" si="31"/>
        <v>0</v>
      </c>
      <c r="E103" s="301">
        <f t="shared" si="31"/>
        <v>0</v>
      </c>
      <c r="F103" s="301">
        <f t="shared" si="31"/>
        <v>0</v>
      </c>
      <c r="G103" s="301">
        <f t="shared" si="31"/>
        <v>0</v>
      </c>
      <c r="H103" s="301">
        <f t="shared" si="31"/>
        <v>0</v>
      </c>
      <c r="J103" s="54"/>
      <c r="K103" s="54"/>
      <c r="L103" s="54"/>
    </row>
    <row r="104" spans="1:12" ht="14.25" hidden="1" customHeight="1">
      <c r="A104" s="301" t="str">
        <f t="shared" si="19"/>
        <v>Chilli</v>
      </c>
      <c r="B104" s="301">
        <f t="shared" ref="B104:H104" si="32">B47</f>
        <v>0</v>
      </c>
      <c r="C104" s="301">
        <f t="shared" si="32"/>
        <v>0</v>
      </c>
      <c r="D104" s="301">
        <f t="shared" si="32"/>
        <v>0</v>
      </c>
      <c r="E104" s="301">
        <f t="shared" si="32"/>
        <v>0</v>
      </c>
      <c r="F104" s="301">
        <f t="shared" si="32"/>
        <v>0</v>
      </c>
      <c r="G104" s="301">
        <f t="shared" si="32"/>
        <v>0</v>
      </c>
      <c r="H104" s="301">
        <f t="shared" si="32"/>
        <v>0</v>
      </c>
      <c r="J104" s="54"/>
      <c r="K104" s="54"/>
      <c r="L104" s="54"/>
    </row>
    <row r="105" spans="1:12" ht="14.25" hidden="1" customHeight="1">
      <c r="A105" s="301" t="str">
        <f t="shared" si="19"/>
        <v>Brinjal</v>
      </c>
      <c r="B105" s="301">
        <f t="shared" ref="B105:H105" si="33">B48</f>
        <v>0</v>
      </c>
      <c r="C105" s="301">
        <f t="shared" si="33"/>
        <v>0</v>
      </c>
      <c r="D105" s="301">
        <f t="shared" si="33"/>
        <v>0</v>
      </c>
      <c r="E105" s="301">
        <f t="shared" si="33"/>
        <v>0</v>
      </c>
      <c r="F105" s="301">
        <f t="shared" si="33"/>
        <v>0</v>
      </c>
      <c r="G105" s="301">
        <f t="shared" si="33"/>
        <v>0</v>
      </c>
      <c r="H105" s="301">
        <f t="shared" si="33"/>
        <v>0</v>
      </c>
      <c r="J105" s="54"/>
      <c r="K105" s="54"/>
      <c r="L105" s="54"/>
    </row>
    <row r="106" spans="1:12" ht="14.25" hidden="1" customHeight="1">
      <c r="A106" s="301">
        <f t="shared" si="19"/>
        <v>0</v>
      </c>
      <c r="B106" s="301">
        <f t="shared" ref="B106:H106" si="34">B49</f>
        <v>0</v>
      </c>
      <c r="C106" s="301">
        <f t="shared" si="34"/>
        <v>0</v>
      </c>
      <c r="D106" s="301">
        <f t="shared" si="34"/>
        <v>0</v>
      </c>
      <c r="E106" s="301">
        <f t="shared" si="34"/>
        <v>0</v>
      </c>
      <c r="F106" s="301">
        <f t="shared" si="34"/>
        <v>0</v>
      </c>
      <c r="G106" s="301">
        <f t="shared" si="34"/>
        <v>0</v>
      </c>
      <c r="H106" s="301">
        <f t="shared" si="34"/>
        <v>0</v>
      </c>
      <c r="J106" s="54"/>
      <c r="K106" s="54"/>
      <c r="L106" s="54"/>
    </row>
    <row r="107" spans="1:12" ht="14.25" hidden="1" customHeight="1">
      <c r="A107" s="301">
        <f t="shared" si="19"/>
        <v>0</v>
      </c>
      <c r="B107" s="301">
        <f t="shared" ref="B107:H107" si="35">B50</f>
        <v>0</v>
      </c>
      <c r="C107" s="301">
        <f t="shared" si="35"/>
        <v>0</v>
      </c>
      <c r="D107" s="301">
        <f t="shared" si="35"/>
        <v>0</v>
      </c>
      <c r="E107" s="301">
        <f t="shared" si="35"/>
        <v>0</v>
      </c>
      <c r="F107" s="301">
        <f t="shared" si="35"/>
        <v>0</v>
      </c>
      <c r="G107" s="301">
        <f t="shared" si="35"/>
        <v>0</v>
      </c>
      <c r="H107" s="301">
        <f t="shared" si="35"/>
        <v>0</v>
      </c>
      <c r="J107" s="54"/>
      <c r="K107" s="54"/>
      <c r="L107" s="54"/>
    </row>
    <row r="108" spans="1:12" ht="14.25" hidden="1" customHeight="1">
      <c r="A108" s="301">
        <f t="shared" si="19"/>
        <v>0</v>
      </c>
      <c r="B108" s="301">
        <f t="shared" ref="B108:H108" si="36">B51</f>
        <v>0</v>
      </c>
      <c r="C108" s="301">
        <f t="shared" si="36"/>
        <v>0</v>
      </c>
      <c r="D108" s="301">
        <f t="shared" si="36"/>
        <v>0</v>
      </c>
      <c r="E108" s="301">
        <f t="shared" si="36"/>
        <v>0</v>
      </c>
      <c r="F108" s="301">
        <f t="shared" si="36"/>
        <v>0</v>
      </c>
      <c r="G108" s="301">
        <f t="shared" si="36"/>
        <v>0</v>
      </c>
      <c r="H108" s="301">
        <f t="shared" si="36"/>
        <v>0</v>
      </c>
      <c r="J108" s="54"/>
      <c r="K108" s="54"/>
      <c r="L108" s="54"/>
    </row>
    <row r="109" spans="1:12" ht="14.25" hidden="1" customHeight="1">
      <c r="A109" s="301">
        <f t="shared" si="19"/>
        <v>0</v>
      </c>
      <c r="B109" s="301">
        <f t="shared" ref="B109:H109" si="37">B52</f>
        <v>0</v>
      </c>
      <c r="C109" s="301">
        <f t="shared" si="37"/>
        <v>0</v>
      </c>
      <c r="D109" s="301">
        <f t="shared" si="37"/>
        <v>0</v>
      </c>
      <c r="E109" s="301">
        <f t="shared" si="37"/>
        <v>0</v>
      </c>
      <c r="F109" s="301">
        <f t="shared" si="37"/>
        <v>0</v>
      </c>
      <c r="G109" s="301">
        <f t="shared" si="37"/>
        <v>0</v>
      </c>
      <c r="H109" s="301">
        <f t="shared" si="37"/>
        <v>0</v>
      </c>
      <c r="J109" s="54"/>
      <c r="K109" s="54"/>
      <c r="L109" s="54"/>
    </row>
    <row r="110" spans="1:12" ht="14.25" hidden="1" customHeight="1">
      <c r="A110" s="301">
        <f t="shared" si="19"/>
        <v>0</v>
      </c>
      <c r="B110" s="301"/>
      <c r="C110" s="301"/>
      <c r="D110" s="301"/>
      <c r="E110" s="301"/>
      <c r="F110" s="301"/>
      <c r="G110" s="301"/>
      <c r="H110" s="301"/>
      <c r="J110" s="54"/>
      <c r="K110" s="54"/>
      <c r="L110" s="54"/>
    </row>
    <row r="111" spans="1:12" ht="14.25" hidden="1" customHeight="1">
      <c r="A111" s="301">
        <f t="shared" si="19"/>
        <v>0</v>
      </c>
      <c r="B111" s="301"/>
      <c r="C111" s="301"/>
      <c r="D111" s="301"/>
      <c r="E111" s="301"/>
      <c r="F111" s="301"/>
      <c r="G111" s="301"/>
      <c r="H111" s="301"/>
      <c r="J111" s="54"/>
      <c r="K111" s="54"/>
      <c r="L111" s="54"/>
    </row>
    <row r="112" spans="1:12" ht="14.25" hidden="1" customHeight="1">
      <c r="A112" s="301">
        <f t="shared" si="19"/>
        <v>0</v>
      </c>
      <c r="B112" s="301"/>
      <c r="C112" s="301"/>
      <c r="D112" s="301"/>
      <c r="E112" s="301"/>
      <c r="F112" s="301"/>
      <c r="G112" s="301"/>
      <c r="H112" s="301"/>
      <c r="J112" s="54"/>
      <c r="K112" s="54"/>
      <c r="L112" s="54"/>
    </row>
    <row r="113" spans="1:12" ht="14.25" hidden="1" customHeight="1">
      <c r="A113" s="301" t="str">
        <f t="shared" si="19"/>
        <v>Pomegranate</v>
      </c>
      <c r="B113" s="301">
        <f t="shared" ref="B113:H113" si="38">B56</f>
        <v>0</v>
      </c>
      <c r="C113" s="301">
        <f t="shared" si="38"/>
        <v>0</v>
      </c>
      <c r="D113" s="301">
        <f t="shared" si="38"/>
        <v>0</v>
      </c>
      <c r="E113" s="301">
        <f t="shared" si="38"/>
        <v>0</v>
      </c>
      <c r="F113" s="301">
        <f t="shared" si="38"/>
        <v>0</v>
      </c>
      <c r="G113" s="301">
        <f t="shared" si="38"/>
        <v>0</v>
      </c>
      <c r="H113" s="301">
        <f t="shared" si="38"/>
        <v>0</v>
      </c>
      <c r="J113" s="54"/>
      <c r="K113" s="54"/>
      <c r="L113" s="54"/>
    </row>
    <row r="114" spans="1:12" ht="14.25" hidden="1" customHeight="1">
      <c r="A114" s="301" t="str">
        <f t="shared" si="19"/>
        <v>Custard Apple</v>
      </c>
      <c r="B114" s="301">
        <f t="shared" ref="B114:H114" si="39">B57</f>
        <v>0</v>
      </c>
      <c r="C114" s="301">
        <f t="shared" si="39"/>
        <v>0</v>
      </c>
      <c r="D114" s="301">
        <f t="shared" si="39"/>
        <v>0</v>
      </c>
      <c r="E114" s="301">
        <f t="shared" si="39"/>
        <v>0</v>
      </c>
      <c r="F114" s="301">
        <f t="shared" si="39"/>
        <v>0</v>
      </c>
      <c r="G114" s="301">
        <f t="shared" si="39"/>
        <v>0</v>
      </c>
      <c r="H114" s="301">
        <f t="shared" si="39"/>
        <v>0</v>
      </c>
      <c r="J114" s="54"/>
      <c r="K114" s="54"/>
      <c r="L114" s="54"/>
    </row>
    <row r="115" spans="1:12" ht="14.25" hidden="1" customHeight="1">
      <c r="A115" s="301" t="str">
        <f t="shared" si="19"/>
        <v>Guava</v>
      </c>
      <c r="B115" s="301">
        <f t="shared" ref="B115:H115" si="40">B58</f>
        <v>0</v>
      </c>
      <c r="C115" s="301">
        <f t="shared" si="40"/>
        <v>0</v>
      </c>
      <c r="D115" s="301">
        <f t="shared" si="40"/>
        <v>0</v>
      </c>
      <c r="E115" s="301">
        <f t="shared" si="40"/>
        <v>0</v>
      </c>
      <c r="F115" s="301">
        <f t="shared" si="40"/>
        <v>0</v>
      </c>
      <c r="G115" s="301">
        <f t="shared" si="40"/>
        <v>0</v>
      </c>
      <c r="H115" s="301">
        <f t="shared" si="40"/>
        <v>0</v>
      </c>
      <c r="J115" s="54"/>
      <c r="K115" s="54"/>
      <c r="L115" s="54"/>
    </row>
    <row r="116" spans="1:12" ht="14.25" hidden="1" customHeight="1">
      <c r="A116" s="301" t="str">
        <f t="shared" si="19"/>
        <v>Citrus</v>
      </c>
      <c r="B116" s="301">
        <f t="shared" ref="B116:H116" si="41">B59</f>
        <v>0</v>
      </c>
      <c r="C116" s="301">
        <f t="shared" si="41"/>
        <v>0</v>
      </c>
      <c r="D116" s="301">
        <f t="shared" si="41"/>
        <v>0</v>
      </c>
      <c r="E116" s="301">
        <f t="shared" si="41"/>
        <v>0</v>
      </c>
      <c r="F116" s="301">
        <f t="shared" si="41"/>
        <v>0</v>
      </c>
      <c r="G116" s="301">
        <f t="shared" si="41"/>
        <v>0</v>
      </c>
      <c r="H116" s="301">
        <f t="shared" si="41"/>
        <v>0</v>
      </c>
      <c r="J116" s="54"/>
      <c r="K116" s="54"/>
      <c r="L116" s="54"/>
    </row>
    <row r="117" spans="1:12" ht="14.25" hidden="1" customHeight="1">
      <c r="A117" s="56"/>
      <c r="B117" s="301"/>
      <c r="C117" s="301"/>
      <c r="D117" s="301"/>
      <c r="E117" s="301"/>
      <c r="F117" s="301"/>
      <c r="G117" s="301"/>
      <c r="H117" s="301"/>
      <c r="J117" s="54"/>
      <c r="K117" s="54"/>
      <c r="L117" s="54"/>
    </row>
    <row r="118" spans="1:12" ht="14.25" hidden="1" customHeight="1">
      <c r="A118" s="56"/>
      <c r="B118" s="301"/>
      <c r="C118" s="301"/>
      <c r="D118" s="301"/>
      <c r="E118" s="301"/>
      <c r="F118" s="301"/>
      <c r="G118" s="301"/>
      <c r="H118" s="301"/>
      <c r="J118" s="54"/>
      <c r="K118" s="54"/>
      <c r="L118" s="54"/>
    </row>
    <row r="119" spans="1:12" ht="14.25" customHeight="1">
      <c r="A119" s="98" t="s">
        <v>629</v>
      </c>
      <c r="B119" s="56"/>
      <c r="C119" s="56"/>
      <c r="D119" s="56"/>
      <c r="E119" s="56"/>
      <c r="F119" s="56"/>
      <c r="G119" s="56"/>
      <c r="H119" s="56"/>
    </row>
    <row r="120" spans="1:12" ht="14.25" hidden="1" customHeight="1">
      <c r="A120" s="301" t="str">
        <f t="shared" ref="A120:A128" si="42">A68</f>
        <v>Soybean</v>
      </c>
      <c r="B120" s="302">
        <f t="shared" ref="B120:H120" si="43">B68-(B68*$G$6)</f>
        <v>0</v>
      </c>
      <c r="C120" s="302">
        <f t="shared" si="43"/>
        <v>0</v>
      </c>
      <c r="D120" s="302">
        <f t="shared" si="43"/>
        <v>0</v>
      </c>
      <c r="E120" s="302">
        <f t="shared" si="43"/>
        <v>0</v>
      </c>
      <c r="F120" s="302">
        <f t="shared" si="43"/>
        <v>0</v>
      </c>
      <c r="G120" s="302">
        <f t="shared" si="43"/>
        <v>0</v>
      </c>
      <c r="H120" s="302">
        <f t="shared" si="43"/>
        <v>0</v>
      </c>
    </row>
    <row r="121" spans="1:12" ht="14.25" hidden="1" customHeight="1">
      <c r="A121" s="301" t="str">
        <f t="shared" si="42"/>
        <v>Red Gram/Tur</v>
      </c>
      <c r="B121" s="302">
        <f t="shared" ref="B121:H121" si="44">B69-(B69*$G$6)</f>
        <v>0</v>
      </c>
      <c r="C121" s="302">
        <f t="shared" si="44"/>
        <v>0</v>
      </c>
      <c r="D121" s="302">
        <f t="shared" si="44"/>
        <v>0</v>
      </c>
      <c r="E121" s="302">
        <f t="shared" si="44"/>
        <v>0</v>
      </c>
      <c r="F121" s="302">
        <f t="shared" si="44"/>
        <v>0</v>
      </c>
      <c r="G121" s="302">
        <f t="shared" si="44"/>
        <v>0</v>
      </c>
      <c r="H121" s="302">
        <f t="shared" si="44"/>
        <v>0</v>
      </c>
    </row>
    <row r="122" spans="1:12" ht="14.25" hidden="1" customHeight="1">
      <c r="A122" s="301" t="str">
        <f t="shared" si="42"/>
        <v>Paddy/Rice</v>
      </c>
      <c r="B122" s="302">
        <f t="shared" ref="B122:H122" si="45">B70-(B70*$G$6)</f>
        <v>0</v>
      </c>
      <c r="C122" s="302">
        <f t="shared" si="45"/>
        <v>0</v>
      </c>
      <c r="D122" s="302">
        <f t="shared" si="45"/>
        <v>0</v>
      </c>
      <c r="E122" s="302">
        <f t="shared" si="45"/>
        <v>0</v>
      </c>
      <c r="F122" s="302">
        <f t="shared" si="45"/>
        <v>0</v>
      </c>
      <c r="G122" s="302">
        <f t="shared" si="45"/>
        <v>0</v>
      </c>
      <c r="H122" s="302">
        <f t="shared" si="45"/>
        <v>0</v>
      </c>
    </row>
    <row r="123" spans="1:12" ht="14.25" hidden="1" customHeight="1">
      <c r="A123" s="301" t="str">
        <f t="shared" si="42"/>
        <v>Green Gram/ Moong</v>
      </c>
      <c r="B123" s="302">
        <f t="shared" ref="B123:H123" si="46">B71-(B71*$G$6)</f>
        <v>0</v>
      </c>
      <c r="C123" s="302">
        <f t="shared" si="46"/>
        <v>0</v>
      </c>
      <c r="D123" s="302">
        <f t="shared" si="46"/>
        <v>0</v>
      </c>
      <c r="E123" s="302">
        <f t="shared" si="46"/>
        <v>0</v>
      </c>
      <c r="F123" s="302">
        <f t="shared" si="46"/>
        <v>0</v>
      </c>
      <c r="G123" s="302">
        <f t="shared" si="46"/>
        <v>0</v>
      </c>
      <c r="H123" s="302">
        <f t="shared" si="46"/>
        <v>0</v>
      </c>
    </row>
    <row r="124" spans="1:12" ht="14.25" hidden="1" customHeight="1">
      <c r="A124" s="301" t="str">
        <f t="shared" si="42"/>
        <v>Maize</v>
      </c>
      <c r="B124" s="302">
        <f t="shared" ref="B124:H124" si="47">B72-(B72*$G$6)</f>
        <v>0</v>
      </c>
      <c r="C124" s="302">
        <f t="shared" si="47"/>
        <v>0</v>
      </c>
      <c r="D124" s="302">
        <f t="shared" si="47"/>
        <v>0</v>
      </c>
      <c r="E124" s="302">
        <f t="shared" si="47"/>
        <v>0</v>
      </c>
      <c r="F124" s="302">
        <f t="shared" si="47"/>
        <v>0</v>
      </c>
      <c r="G124" s="302">
        <f t="shared" si="47"/>
        <v>0</v>
      </c>
      <c r="H124" s="302">
        <f t="shared" si="47"/>
        <v>0</v>
      </c>
    </row>
    <row r="125" spans="1:12" ht="14.25" hidden="1" customHeight="1">
      <c r="A125" s="301" t="str">
        <f t="shared" si="42"/>
        <v>Black Gram/Udid</v>
      </c>
      <c r="B125" s="302">
        <f t="shared" ref="B125:H125" si="48">B73-(B73*$G$6)</f>
        <v>0</v>
      </c>
      <c r="C125" s="302">
        <f t="shared" si="48"/>
        <v>0</v>
      </c>
      <c r="D125" s="302">
        <f t="shared" si="48"/>
        <v>0</v>
      </c>
      <c r="E125" s="302">
        <f t="shared" si="48"/>
        <v>0</v>
      </c>
      <c r="F125" s="302">
        <f t="shared" si="48"/>
        <v>0</v>
      </c>
      <c r="G125" s="302">
        <f t="shared" si="48"/>
        <v>0</v>
      </c>
      <c r="H125" s="302">
        <f t="shared" si="48"/>
        <v>0</v>
      </c>
    </row>
    <row r="126" spans="1:12" ht="14.25" hidden="1" customHeight="1">
      <c r="A126" s="301" t="str">
        <f t="shared" si="42"/>
        <v>Bajra</v>
      </c>
      <c r="B126" s="302">
        <f t="shared" ref="B126:H126" si="49">B74-(B74*$G$6)</f>
        <v>0</v>
      </c>
      <c r="C126" s="302">
        <f t="shared" si="49"/>
        <v>0</v>
      </c>
      <c r="D126" s="302">
        <f t="shared" si="49"/>
        <v>0</v>
      </c>
      <c r="E126" s="302">
        <f t="shared" si="49"/>
        <v>0</v>
      </c>
      <c r="F126" s="302">
        <f t="shared" si="49"/>
        <v>0</v>
      </c>
      <c r="G126" s="302">
        <f t="shared" si="49"/>
        <v>0</v>
      </c>
      <c r="H126" s="302">
        <f t="shared" si="49"/>
        <v>0</v>
      </c>
    </row>
    <row r="127" spans="1:12" ht="14.25" customHeight="1">
      <c r="A127" s="301" t="str">
        <f t="shared" si="42"/>
        <v>Jawar</v>
      </c>
      <c r="B127" s="302">
        <f t="shared" ref="B127:H127" si="50">B75-(B75*$G$6)*95%</f>
        <v>3769.9057499999999</v>
      </c>
      <c r="C127" s="302">
        <f t="shared" si="50"/>
        <v>4398.2233749999996</v>
      </c>
      <c r="D127" s="302">
        <f t="shared" si="50"/>
        <v>5026.5410000000002</v>
      </c>
      <c r="E127" s="302">
        <f t="shared" si="50"/>
        <v>5654.8586249999998</v>
      </c>
      <c r="F127" s="302">
        <f t="shared" si="50"/>
        <v>6283.1762500000004</v>
      </c>
      <c r="G127" s="302">
        <f t="shared" si="50"/>
        <v>6911.4938750000001</v>
      </c>
      <c r="H127" s="302">
        <f t="shared" si="50"/>
        <v>7539.8115000000007</v>
      </c>
    </row>
    <row r="128" spans="1:12" ht="14.25" hidden="1" customHeight="1">
      <c r="A128" s="301" t="str">
        <f t="shared" si="42"/>
        <v>Sunflower</v>
      </c>
      <c r="B128" s="302">
        <f t="shared" ref="B128:H128" si="51">B76-(B76*$G$6)</f>
        <v>0</v>
      </c>
      <c r="C128" s="302">
        <f t="shared" si="51"/>
        <v>0</v>
      </c>
      <c r="D128" s="302">
        <f t="shared" si="51"/>
        <v>0</v>
      </c>
      <c r="E128" s="302">
        <f t="shared" si="51"/>
        <v>0</v>
      </c>
      <c r="F128" s="302">
        <f t="shared" si="51"/>
        <v>0</v>
      </c>
      <c r="G128" s="302">
        <f t="shared" si="51"/>
        <v>0</v>
      </c>
      <c r="H128" s="302">
        <f t="shared" si="51"/>
        <v>0</v>
      </c>
    </row>
    <row r="129" spans="1:8" ht="14.25" customHeight="1">
      <c r="A129" s="98" t="s">
        <v>630</v>
      </c>
      <c r="B129" s="302">
        <f t="shared" ref="B129:H129" si="52">B77-(B77*$G$6)*95%</f>
        <v>6351.5372076000003</v>
      </c>
      <c r="C129" s="302">
        <f t="shared" si="52"/>
        <v>7410.1267421999992</v>
      </c>
      <c r="D129" s="302">
        <f t="shared" si="52"/>
        <v>8468.7162767999998</v>
      </c>
      <c r="E129" s="302">
        <f t="shared" si="52"/>
        <v>9527.3058113999978</v>
      </c>
      <c r="F129" s="302">
        <f t="shared" si="52"/>
        <v>10585.895345999998</v>
      </c>
      <c r="G129" s="302">
        <f t="shared" si="52"/>
        <v>11644.484880599999</v>
      </c>
      <c r="H129" s="302">
        <f t="shared" si="52"/>
        <v>12703.074415200001</v>
      </c>
    </row>
    <row r="130" spans="1:8" ht="14.25" hidden="1" customHeight="1">
      <c r="A130" s="301" t="str">
        <f t="shared" ref="A130:A141" si="53">A78</f>
        <v>Bengal Gram/Channa</v>
      </c>
      <c r="B130" s="296">
        <f t="shared" ref="B130:H130" si="54">B78-(B78*$G$6)</f>
        <v>0</v>
      </c>
      <c r="C130" s="296">
        <f t="shared" si="54"/>
        <v>0</v>
      </c>
      <c r="D130" s="296">
        <f t="shared" si="54"/>
        <v>0</v>
      </c>
      <c r="E130" s="296">
        <f t="shared" si="54"/>
        <v>0</v>
      </c>
      <c r="F130" s="296">
        <f t="shared" si="54"/>
        <v>0</v>
      </c>
      <c r="G130" s="296">
        <f t="shared" si="54"/>
        <v>0</v>
      </c>
      <c r="H130" s="296">
        <f t="shared" si="54"/>
        <v>0</v>
      </c>
    </row>
    <row r="131" spans="1:8" ht="14.25" hidden="1" customHeight="1">
      <c r="A131" s="301" t="str">
        <f t="shared" si="53"/>
        <v>Jawar</v>
      </c>
      <c r="B131" s="296">
        <f t="shared" ref="B131:H131" si="55">B79-(B79*$G$6)</f>
        <v>0</v>
      </c>
      <c r="C131" s="296">
        <f t="shared" si="55"/>
        <v>0</v>
      </c>
      <c r="D131" s="296">
        <f t="shared" si="55"/>
        <v>0</v>
      </c>
      <c r="E131" s="296">
        <f t="shared" si="55"/>
        <v>0</v>
      </c>
      <c r="F131" s="296">
        <f t="shared" si="55"/>
        <v>0</v>
      </c>
      <c r="G131" s="296">
        <f t="shared" si="55"/>
        <v>0</v>
      </c>
      <c r="H131" s="296">
        <f t="shared" si="55"/>
        <v>0</v>
      </c>
    </row>
    <row r="132" spans="1:8" ht="14.25" hidden="1" customHeight="1">
      <c r="A132" s="301" t="str">
        <f t="shared" si="53"/>
        <v>Maize</v>
      </c>
      <c r="B132" s="296">
        <f t="shared" ref="B132:H132" si="56">B80-(B80*$G$6)</f>
        <v>0</v>
      </c>
      <c r="C132" s="296">
        <f t="shared" si="56"/>
        <v>0</v>
      </c>
      <c r="D132" s="296">
        <f t="shared" si="56"/>
        <v>0</v>
      </c>
      <c r="E132" s="296">
        <f t="shared" si="56"/>
        <v>0</v>
      </c>
      <c r="F132" s="296">
        <f t="shared" si="56"/>
        <v>0</v>
      </c>
      <c r="G132" s="296">
        <f t="shared" si="56"/>
        <v>0</v>
      </c>
      <c r="H132" s="296">
        <f t="shared" si="56"/>
        <v>0</v>
      </c>
    </row>
    <row r="133" spans="1:8" ht="14.25" hidden="1" customHeight="1">
      <c r="A133" s="301" t="str">
        <f t="shared" si="53"/>
        <v>Safflower</v>
      </c>
      <c r="B133" s="296">
        <f t="shared" ref="B133:H133" si="57">B81-(B81*$G$6)</f>
        <v>0</v>
      </c>
      <c r="C133" s="296">
        <f t="shared" si="57"/>
        <v>0</v>
      </c>
      <c r="D133" s="296">
        <f t="shared" si="57"/>
        <v>0</v>
      </c>
      <c r="E133" s="296">
        <f t="shared" si="57"/>
        <v>0</v>
      </c>
      <c r="F133" s="296">
        <f t="shared" si="57"/>
        <v>0</v>
      </c>
      <c r="G133" s="296">
        <f t="shared" si="57"/>
        <v>0</v>
      </c>
      <c r="H133" s="296">
        <f t="shared" si="57"/>
        <v>0</v>
      </c>
    </row>
    <row r="134" spans="1:8" ht="14.25" hidden="1" customHeight="1">
      <c r="A134" s="301">
        <f t="shared" si="53"/>
        <v>0</v>
      </c>
      <c r="B134" s="296">
        <f t="shared" ref="B134:H134" si="58">B82-(B82*$G$6)</f>
        <v>0</v>
      </c>
      <c r="C134" s="296">
        <f t="shared" si="58"/>
        <v>0</v>
      </c>
      <c r="D134" s="296">
        <f t="shared" si="58"/>
        <v>0</v>
      </c>
      <c r="E134" s="296">
        <f t="shared" si="58"/>
        <v>0</v>
      </c>
      <c r="F134" s="296">
        <f t="shared" si="58"/>
        <v>0</v>
      </c>
      <c r="G134" s="296">
        <f t="shared" si="58"/>
        <v>0</v>
      </c>
      <c r="H134" s="296">
        <f t="shared" si="58"/>
        <v>0</v>
      </c>
    </row>
    <row r="135" spans="1:8" ht="14.25" hidden="1" customHeight="1">
      <c r="A135" s="301">
        <f t="shared" si="53"/>
        <v>0</v>
      </c>
      <c r="B135" s="296">
        <f t="shared" ref="B135:H135" si="59">B83-(B83*$G$6)</f>
        <v>0</v>
      </c>
      <c r="C135" s="296">
        <f t="shared" si="59"/>
        <v>0</v>
      </c>
      <c r="D135" s="296">
        <f t="shared" si="59"/>
        <v>0</v>
      </c>
      <c r="E135" s="296">
        <f t="shared" si="59"/>
        <v>0</v>
      </c>
      <c r="F135" s="296">
        <f t="shared" si="59"/>
        <v>0</v>
      </c>
      <c r="G135" s="296">
        <f t="shared" si="59"/>
        <v>0</v>
      </c>
      <c r="H135" s="296">
        <f t="shared" si="59"/>
        <v>0</v>
      </c>
    </row>
    <row r="136" spans="1:8" ht="14.25" hidden="1" customHeight="1">
      <c r="A136" s="301">
        <f t="shared" si="53"/>
        <v>0</v>
      </c>
      <c r="B136" s="296">
        <f t="shared" ref="B136:H136" si="60">B84-(B84*$G$6)</f>
        <v>0</v>
      </c>
      <c r="C136" s="296">
        <f t="shared" si="60"/>
        <v>0</v>
      </c>
      <c r="D136" s="296">
        <f t="shared" si="60"/>
        <v>0</v>
      </c>
      <c r="E136" s="296">
        <f t="shared" si="60"/>
        <v>0</v>
      </c>
      <c r="F136" s="296">
        <f t="shared" si="60"/>
        <v>0</v>
      </c>
      <c r="G136" s="296">
        <f t="shared" si="60"/>
        <v>0</v>
      </c>
      <c r="H136" s="296">
        <f t="shared" si="60"/>
        <v>0</v>
      </c>
    </row>
    <row r="137" spans="1:8" ht="14.25" hidden="1" customHeight="1">
      <c r="A137" s="301" t="str">
        <f t="shared" si="53"/>
        <v>Groundnut</v>
      </c>
      <c r="B137" s="296">
        <f t="shared" ref="B137:H137" si="61">B85-(B85*$G$6)</f>
        <v>0</v>
      </c>
      <c r="C137" s="296">
        <f t="shared" si="61"/>
        <v>0</v>
      </c>
      <c r="D137" s="296">
        <f t="shared" si="61"/>
        <v>0</v>
      </c>
      <c r="E137" s="296">
        <f t="shared" si="61"/>
        <v>0</v>
      </c>
      <c r="F137" s="296">
        <f t="shared" si="61"/>
        <v>0</v>
      </c>
      <c r="G137" s="296">
        <f t="shared" si="61"/>
        <v>0</v>
      </c>
      <c r="H137" s="296">
        <f t="shared" si="61"/>
        <v>0</v>
      </c>
    </row>
    <row r="138" spans="1:8" ht="14.25" hidden="1" customHeight="1">
      <c r="A138" s="301">
        <f t="shared" si="53"/>
        <v>0</v>
      </c>
      <c r="B138" s="296">
        <f t="shared" ref="B138:H138" si="62">B86-(B86*$G$6)</f>
        <v>0</v>
      </c>
      <c r="C138" s="296">
        <f t="shared" si="62"/>
        <v>0</v>
      </c>
      <c r="D138" s="296">
        <f t="shared" si="62"/>
        <v>0</v>
      </c>
      <c r="E138" s="296">
        <f t="shared" si="62"/>
        <v>0</v>
      </c>
      <c r="F138" s="296">
        <f t="shared" si="62"/>
        <v>0</v>
      </c>
      <c r="G138" s="296">
        <f t="shared" si="62"/>
        <v>0</v>
      </c>
      <c r="H138" s="296">
        <f t="shared" si="62"/>
        <v>0</v>
      </c>
    </row>
    <row r="139" spans="1:8" ht="14.25" hidden="1" customHeight="1">
      <c r="A139" s="301">
        <f t="shared" si="53"/>
        <v>0</v>
      </c>
      <c r="B139" s="296">
        <f t="shared" ref="B139:H139" si="63">B87-(B87*$G$6)</f>
        <v>0</v>
      </c>
      <c r="C139" s="296">
        <f t="shared" si="63"/>
        <v>0</v>
      </c>
      <c r="D139" s="296">
        <f t="shared" si="63"/>
        <v>0</v>
      </c>
      <c r="E139" s="296">
        <f t="shared" si="63"/>
        <v>0</v>
      </c>
      <c r="F139" s="296">
        <f t="shared" si="63"/>
        <v>0</v>
      </c>
      <c r="G139" s="296">
        <f t="shared" si="63"/>
        <v>0</v>
      </c>
      <c r="H139" s="296">
        <f t="shared" si="63"/>
        <v>0</v>
      </c>
    </row>
    <row r="140" spans="1:8" ht="14.25" hidden="1" customHeight="1">
      <c r="A140" s="301">
        <f t="shared" si="53"/>
        <v>0</v>
      </c>
      <c r="B140" s="296">
        <f t="shared" ref="B140:H140" si="64">B88-(B88*$G$6)</f>
        <v>0</v>
      </c>
      <c r="C140" s="296">
        <f t="shared" si="64"/>
        <v>0</v>
      </c>
      <c r="D140" s="296">
        <f t="shared" si="64"/>
        <v>0</v>
      </c>
      <c r="E140" s="296">
        <f t="shared" si="64"/>
        <v>0</v>
      </c>
      <c r="F140" s="296">
        <f t="shared" si="64"/>
        <v>0</v>
      </c>
      <c r="G140" s="296">
        <f t="shared" si="64"/>
        <v>0</v>
      </c>
      <c r="H140" s="296">
        <f t="shared" si="64"/>
        <v>0</v>
      </c>
    </row>
    <row r="141" spans="1:8" ht="14.25" hidden="1" customHeight="1">
      <c r="A141" s="301">
        <f t="shared" si="53"/>
        <v>0</v>
      </c>
      <c r="B141" s="296">
        <f t="shared" ref="B141:H141" si="65">B89-(B89*$G$6)</f>
        <v>0</v>
      </c>
      <c r="C141" s="296">
        <f t="shared" si="65"/>
        <v>0</v>
      </c>
      <c r="D141" s="296">
        <f t="shared" si="65"/>
        <v>0</v>
      </c>
      <c r="E141" s="296">
        <f t="shared" si="65"/>
        <v>0</v>
      </c>
      <c r="F141" s="296">
        <f t="shared" si="65"/>
        <v>0</v>
      </c>
      <c r="G141" s="296">
        <f t="shared" si="65"/>
        <v>0</v>
      </c>
      <c r="H141" s="296">
        <f t="shared" si="65"/>
        <v>0</v>
      </c>
    </row>
    <row r="142" spans="1:8" ht="14.25" hidden="1" customHeight="1">
      <c r="A142" s="56"/>
      <c r="B142" s="296"/>
      <c r="C142" s="296"/>
      <c r="D142" s="296"/>
      <c r="E142" s="296"/>
      <c r="F142" s="296"/>
      <c r="G142" s="296"/>
      <c r="H142" s="296"/>
    </row>
    <row r="143" spans="1:8" ht="14.25" hidden="1" customHeight="1">
      <c r="A143" s="297" t="str">
        <f t="shared" ref="A143:A168" si="66">A91</f>
        <v>Fruit  &amp; Vegetables Crop Production Details</v>
      </c>
      <c r="B143" s="296"/>
      <c r="C143" s="296"/>
      <c r="D143" s="296"/>
      <c r="E143" s="296"/>
      <c r="F143" s="296"/>
      <c r="G143" s="296"/>
      <c r="H143" s="296"/>
    </row>
    <row r="144" spans="1:8" ht="14.25" hidden="1" customHeight="1">
      <c r="A144" s="301" t="str">
        <f t="shared" si="66"/>
        <v>Onion</v>
      </c>
      <c r="B144" s="296">
        <f t="shared" ref="B144:H144" si="67">B92-(B92*$G$7)</f>
        <v>0</v>
      </c>
      <c r="C144" s="296">
        <f t="shared" si="67"/>
        <v>0</v>
      </c>
      <c r="D144" s="296">
        <f t="shared" si="67"/>
        <v>0</v>
      </c>
      <c r="E144" s="296">
        <f t="shared" si="67"/>
        <v>0</v>
      </c>
      <c r="F144" s="296">
        <f t="shared" si="67"/>
        <v>0</v>
      </c>
      <c r="G144" s="296">
        <f t="shared" si="67"/>
        <v>0</v>
      </c>
      <c r="H144" s="296">
        <f t="shared" si="67"/>
        <v>0</v>
      </c>
    </row>
    <row r="145" spans="1:8" ht="14.25" hidden="1" customHeight="1">
      <c r="A145" s="301" t="str">
        <f t="shared" si="66"/>
        <v>Tomato</v>
      </c>
      <c r="B145" s="296">
        <f t="shared" ref="B145:H145" si="68">B93-(B93*$G$7)</f>
        <v>0</v>
      </c>
      <c r="C145" s="296">
        <f t="shared" si="68"/>
        <v>0</v>
      </c>
      <c r="D145" s="296">
        <f t="shared" si="68"/>
        <v>0</v>
      </c>
      <c r="E145" s="296">
        <f t="shared" si="68"/>
        <v>0</v>
      </c>
      <c r="F145" s="296">
        <f t="shared" si="68"/>
        <v>0</v>
      </c>
      <c r="G145" s="296">
        <f t="shared" si="68"/>
        <v>0</v>
      </c>
      <c r="H145" s="296">
        <f t="shared" si="68"/>
        <v>0</v>
      </c>
    </row>
    <row r="146" spans="1:8" ht="14.25" hidden="1" customHeight="1">
      <c r="A146" s="301" t="str">
        <f t="shared" si="66"/>
        <v>Okra</v>
      </c>
      <c r="B146" s="296">
        <f t="shared" ref="B146:H146" si="69">B94-(B94*$G$7)</f>
        <v>0</v>
      </c>
      <c r="C146" s="296">
        <f t="shared" si="69"/>
        <v>0</v>
      </c>
      <c r="D146" s="296">
        <f t="shared" si="69"/>
        <v>0</v>
      </c>
      <c r="E146" s="296">
        <f t="shared" si="69"/>
        <v>0</v>
      </c>
      <c r="F146" s="296">
        <f t="shared" si="69"/>
        <v>0</v>
      </c>
      <c r="G146" s="296">
        <f t="shared" si="69"/>
        <v>0</v>
      </c>
      <c r="H146" s="296">
        <f t="shared" si="69"/>
        <v>0</v>
      </c>
    </row>
    <row r="147" spans="1:8" ht="14.25" hidden="1" customHeight="1">
      <c r="A147" s="301" t="str">
        <f t="shared" si="66"/>
        <v>Chilli</v>
      </c>
      <c r="B147" s="296">
        <f t="shared" ref="B147:H147" si="70">B95-(B95*$G$7)</f>
        <v>0</v>
      </c>
      <c r="C147" s="296">
        <f t="shared" si="70"/>
        <v>0</v>
      </c>
      <c r="D147" s="296">
        <f t="shared" si="70"/>
        <v>0</v>
      </c>
      <c r="E147" s="296">
        <f t="shared" si="70"/>
        <v>0</v>
      </c>
      <c r="F147" s="296">
        <f t="shared" si="70"/>
        <v>0</v>
      </c>
      <c r="G147" s="296">
        <f t="shared" si="70"/>
        <v>0</v>
      </c>
      <c r="H147" s="296">
        <f t="shared" si="70"/>
        <v>0</v>
      </c>
    </row>
    <row r="148" spans="1:8" ht="14.25" hidden="1" customHeight="1">
      <c r="A148" s="301" t="str">
        <f t="shared" si="66"/>
        <v>Potato</v>
      </c>
      <c r="B148" s="296">
        <f t="shared" ref="B148:H148" si="71">B96-(B96*$G$7)</f>
        <v>0</v>
      </c>
      <c r="C148" s="296">
        <f t="shared" si="71"/>
        <v>0</v>
      </c>
      <c r="D148" s="296">
        <f t="shared" si="71"/>
        <v>0</v>
      </c>
      <c r="E148" s="296">
        <f t="shared" si="71"/>
        <v>0</v>
      </c>
      <c r="F148" s="296">
        <f t="shared" si="71"/>
        <v>0</v>
      </c>
      <c r="G148" s="296">
        <f t="shared" si="71"/>
        <v>0</v>
      </c>
      <c r="H148" s="296">
        <f t="shared" si="71"/>
        <v>0</v>
      </c>
    </row>
    <row r="149" spans="1:8" ht="14.25" hidden="1" customHeight="1">
      <c r="A149" s="301">
        <f t="shared" si="66"/>
        <v>0</v>
      </c>
      <c r="B149" s="296">
        <f t="shared" ref="B149:H149" si="72">B97-(B97*$G$7)</f>
        <v>0</v>
      </c>
      <c r="C149" s="296">
        <f t="shared" si="72"/>
        <v>0</v>
      </c>
      <c r="D149" s="296">
        <f t="shared" si="72"/>
        <v>0</v>
      </c>
      <c r="E149" s="296">
        <f t="shared" si="72"/>
        <v>0</v>
      </c>
      <c r="F149" s="296">
        <f t="shared" si="72"/>
        <v>0</v>
      </c>
      <c r="G149" s="296">
        <f t="shared" si="72"/>
        <v>0</v>
      </c>
      <c r="H149" s="296">
        <f t="shared" si="72"/>
        <v>0</v>
      </c>
    </row>
    <row r="150" spans="1:8" ht="14.25" hidden="1" customHeight="1">
      <c r="A150" s="301">
        <f t="shared" si="66"/>
        <v>0</v>
      </c>
      <c r="B150" s="296">
        <f t="shared" ref="B150:H150" si="73">B98-(B98*$G$7)</f>
        <v>0</v>
      </c>
      <c r="C150" s="296">
        <f t="shared" si="73"/>
        <v>0</v>
      </c>
      <c r="D150" s="296">
        <f t="shared" si="73"/>
        <v>0</v>
      </c>
      <c r="E150" s="296">
        <f t="shared" si="73"/>
        <v>0</v>
      </c>
      <c r="F150" s="296">
        <f t="shared" si="73"/>
        <v>0</v>
      </c>
      <c r="G150" s="296">
        <f t="shared" si="73"/>
        <v>0</v>
      </c>
      <c r="H150" s="296">
        <f t="shared" si="73"/>
        <v>0</v>
      </c>
    </row>
    <row r="151" spans="1:8" ht="14.25" hidden="1" customHeight="1">
      <c r="A151" s="301">
        <f t="shared" si="66"/>
        <v>0</v>
      </c>
      <c r="B151" s="296">
        <f t="shared" ref="B151:H151" si="74">B99-(B99*$G$7)</f>
        <v>0</v>
      </c>
      <c r="C151" s="296">
        <f t="shared" si="74"/>
        <v>0</v>
      </c>
      <c r="D151" s="296">
        <f t="shared" si="74"/>
        <v>0</v>
      </c>
      <c r="E151" s="296">
        <f t="shared" si="74"/>
        <v>0</v>
      </c>
      <c r="F151" s="296">
        <f t="shared" si="74"/>
        <v>0</v>
      </c>
      <c r="G151" s="296">
        <f t="shared" si="74"/>
        <v>0</v>
      </c>
      <c r="H151" s="296">
        <f t="shared" si="74"/>
        <v>0</v>
      </c>
    </row>
    <row r="152" spans="1:8" ht="14.25" hidden="1" customHeight="1">
      <c r="A152" s="301">
        <f t="shared" si="66"/>
        <v>0</v>
      </c>
      <c r="B152" s="296">
        <f t="shared" ref="B152:H152" si="75">B100-(B100*$G$7)</f>
        <v>0</v>
      </c>
      <c r="C152" s="296">
        <f t="shared" si="75"/>
        <v>0</v>
      </c>
      <c r="D152" s="296">
        <f t="shared" si="75"/>
        <v>0</v>
      </c>
      <c r="E152" s="296">
        <f t="shared" si="75"/>
        <v>0</v>
      </c>
      <c r="F152" s="296">
        <f t="shared" si="75"/>
        <v>0</v>
      </c>
      <c r="G152" s="296">
        <f t="shared" si="75"/>
        <v>0</v>
      </c>
      <c r="H152" s="296">
        <f t="shared" si="75"/>
        <v>0</v>
      </c>
    </row>
    <row r="153" spans="1:8" ht="14.25" hidden="1" customHeight="1">
      <c r="A153" s="301" t="str">
        <f t="shared" si="66"/>
        <v>Onion</v>
      </c>
      <c r="B153" s="296">
        <f t="shared" ref="B153:H153" si="76">B101-(B101*$G$7)</f>
        <v>0</v>
      </c>
      <c r="C153" s="296">
        <f t="shared" si="76"/>
        <v>0</v>
      </c>
      <c r="D153" s="296">
        <f t="shared" si="76"/>
        <v>0</v>
      </c>
      <c r="E153" s="296">
        <f t="shared" si="76"/>
        <v>0</v>
      </c>
      <c r="F153" s="296">
        <f t="shared" si="76"/>
        <v>0</v>
      </c>
      <c r="G153" s="296">
        <f t="shared" si="76"/>
        <v>0</v>
      </c>
      <c r="H153" s="296">
        <f t="shared" si="76"/>
        <v>0</v>
      </c>
    </row>
    <row r="154" spans="1:8" ht="14.25" hidden="1" customHeight="1">
      <c r="A154" s="301" t="str">
        <f t="shared" si="66"/>
        <v>Tomato</v>
      </c>
      <c r="B154" s="296">
        <f t="shared" ref="B154:H154" si="77">B102-(B102*$G$7)</f>
        <v>0</v>
      </c>
      <c r="C154" s="296">
        <f t="shared" si="77"/>
        <v>0</v>
      </c>
      <c r="D154" s="296">
        <f t="shared" si="77"/>
        <v>0</v>
      </c>
      <c r="E154" s="296">
        <f t="shared" si="77"/>
        <v>0</v>
      </c>
      <c r="F154" s="296">
        <f t="shared" si="77"/>
        <v>0</v>
      </c>
      <c r="G154" s="296">
        <f t="shared" si="77"/>
        <v>0</v>
      </c>
      <c r="H154" s="296">
        <f t="shared" si="77"/>
        <v>0</v>
      </c>
    </row>
    <row r="155" spans="1:8" ht="14.25" hidden="1" customHeight="1">
      <c r="A155" s="301" t="str">
        <f t="shared" si="66"/>
        <v>Okra</v>
      </c>
      <c r="B155" s="296">
        <f t="shared" ref="B155:H155" si="78">B103-(B103*$G$7)</f>
        <v>0</v>
      </c>
      <c r="C155" s="296">
        <f t="shared" si="78"/>
        <v>0</v>
      </c>
      <c r="D155" s="296">
        <f t="shared" si="78"/>
        <v>0</v>
      </c>
      <c r="E155" s="296">
        <f t="shared" si="78"/>
        <v>0</v>
      </c>
      <c r="F155" s="296">
        <f t="shared" si="78"/>
        <v>0</v>
      </c>
      <c r="G155" s="296">
        <f t="shared" si="78"/>
        <v>0</v>
      </c>
      <c r="H155" s="296">
        <f t="shared" si="78"/>
        <v>0</v>
      </c>
    </row>
    <row r="156" spans="1:8" ht="14.25" hidden="1" customHeight="1">
      <c r="A156" s="301" t="str">
        <f t="shared" si="66"/>
        <v>Chilli</v>
      </c>
      <c r="B156" s="296">
        <f t="shared" ref="B156:H156" si="79">B104-(B104*$G$7)</f>
        <v>0</v>
      </c>
      <c r="C156" s="296">
        <f t="shared" si="79"/>
        <v>0</v>
      </c>
      <c r="D156" s="296">
        <f t="shared" si="79"/>
        <v>0</v>
      </c>
      <c r="E156" s="296">
        <f t="shared" si="79"/>
        <v>0</v>
      </c>
      <c r="F156" s="296">
        <f t="shared" si="79"/>
        <v>0</v>
      </c>
      <c r="G156" s="296">
        <f t="shared" si="79"/>
        <v>0</v>
      </c>
      <c r="H156" s="296">
        <f t="shared" si="79"/>
        <v>0</v>
      </c>
    </row>
    <row r="157" spans="1:8" ht="14.25" hidden="1" customHeight="1">
      <c r="A157" s="301" t="str">
        <f t="shared" si="66"/>
        <v>Brinjal</v>
      </c>
      <c r="B157" s="296">
        <f t="shared" ref="B157:H157" si="80">B105-(B105*$G$7)</f>
        <v>0</v>
      </c>
      <c r="C157" s="296">
        <f t="shared" si="80"/>
        <v>0</v>
      </c>
      <c r="D157" s="296">
        <f t="shared" si="80"/>
        <v>0</v>
      </c>
      <c r="E157" s="296">
        <f t="shared" si="80"/>
        <v>0</v>
      </c>
      <c r="F157" s="296">
        <f t="shared" si="80"/>
        <v>0</v>
      </c>
      <c r="G157" s="296">
        <f t="shared" si="80"/>
        <v>0</v>
      </c>
      <c r="H157" s="296">
        <f t="shared" si="80"/>
        <v>0</v>
      </c>
    </row>
    <row r="158" spans="1:8" ht="14.25" hidden="1" customHeight="1">
      <c r="A158" s="301">
        <f t="shared" si="66"/>
        <v>0</v>
      </c>
      <c r="B158" s="296">
        <f t="shared" ref="B158:H158" si="81">B106-(B106*$G$7)</f>
        <v>0</v>
      </c>
      <c r="C158" s="296">
        <f t="shared" si="81"/>
        <v>0</v>
      </c>
      <c r="D158" s="296">
        <f t="shared" si="81"/>
        <v>0</v>
      </c>
      <c r="E158" s="296">
        <f t="shared" si="81"/>
        <v>0</v>
      </c>
      <c r="F158" s="296">
        <f t="shared" si="81"/>
        <v>0</v>
      </c>
      <c r="G158" s="296">
        <f t="shared" si="81"/>
        <v>0</v>
      </c>
      <c r="H158" s="296">
        <f t="shared" si="81"/>
        <v>0</v>
      </c>
    </row>
    <row r="159" spans="1:8" ht="14.25" hidden="1" customHeight="1">
      <c r="A159" s="301">
        <f t="shared" si="66"/>
        <v>0</v>
      </c>
      <c r="B159" s="296">
        <f t="shared" ref="B159:H159" si="82">B107-(B107*$G$7)</f>
        <v>0</v>
      </c>
      <c r="C159" s="296">
        <f t="shared" si="82"/>
        <v>0</v>
      </c>
      <c r="D159" s="296">
        <f t="shared" si="82"/>
        <v>0</v>
      </c>
      <c r="E159" s="296">
        <f t="shared" si="82"/>
        <v>0</v>
      </c>
      <c r="F159" s="296">
        <f t="shared" si="82"/>
        <v>0</v>
      </c>
      <c r="G159" s="296">
        <f t="shared" si="82"/>
        <v>0</v>
      </c>
      <c r="H159" s="296">
        <f t="shared" si="82"/>
        <v>0</v>
      </c>
    </row>
    <row r="160" spans="1:8" ht="14.25" hidden="1" customHeight="1">
      <c r="A160" s="301">
        <f t="shared" si="66"/>
        <v>0</v>
      </c>
      <c r="B160" s="296">
        <f t="shared" ref="B160:H160" si="83">B108-(B108*$G$7)</f>
        <v>0</v>
      </c>
      <c r="C160" s="296">
        <f t="shared" si="83"/>
        <v>0</v>
      </c>
      <c r="D160" s="296">
        <f t="shared" si="83"/>
        <v>0</v>
      </c>
      <c r="E160" s="296">
        <f t="shared" si="83"/>
        <v>0</v>
      </c>
      <c r="F160" s="296">
        <f t="shared" si="83"/>
        <v>0</v>
      </c>
      <c r="G160" s="296">
        <f t="shared" si="83"/>
        <v>0</v>
      </c>
      <c r="H160" s="296">
        <f t="shared" si="83"/>
        <v>0</v>
      </c>
    </row>
    <row r="161" spans="1:20" ht="14.25" hidden="1" customHeight="1">
      <c r="A161" s="301">
        <f t="shared" si="66"/>
        <v>0</v>
      </c>
      <c r="B161" s="296">
        <f t="shared" ref="B161:H161" si="84">B109-(B109*$G$7)</f>
        <v>0</v>
      </c>
      <c r="C161" s="296">
        <f t="shared" si="84"/>
        <v>0</v>
      </c>
      <c r="D161" s="296">
        <f t="shared" si="84"/>
        <v>0</v>
      </c>
      <c r="E161" s="296">
        <f t="shared" si="84"/>
        <v>0</v>
      </c>
      <c r="F161" s="296">
        <f t="shared" si="84"/>
        <v>0</v>
      </c>
      <c r="G161" s="296">
        <f t="shared" si="84"/>
        <v>0</v>
      </c>
      <c r="H161" s="296">
        <f t="shared" si="84"/>
        <v>0</v>
      </c>
    </row>
    <row r="162" spans="1:20" ht="14.25" hidden="1" customHeight="1">
      <c r="A162" s="301">
        <f t="shared" si="66"/>
        <v>0</v>
      </c>
      <c r="B162" s="296">
        <f t="shared" ref="B162:H162" si="85">B110-(B110*$G$7)</f>
        <v>0</v>
      </c>
      <c r="C162" s="296">
        <f t="shared" si="85"/>
        <v>0</v>
      </c>
      <c r="D162" s="296">
        <f t="shared" si="85"/>
        <v>0</v>
      </c>
      <c r="E162" s="296">
        <f t="shared" si="85"/>
        <v>0</v>
      </c>
      <c r="F162" s="296">
        <f t="shared" si="85"/>
        <v>0</v>
      </c>
      <c r="G162" s="296">
        <f t="shared" si="85"/>
        <v>0</v>
      </c>
      <c r="H162" s="296">
        <f t="shared" si="85"/>
        <v>0</v>
      </c>
    </row>
    <row r="163" spans="1:20" ht="14.25" hidden="1" customHeight="1">
      <c r="A163" s="301">
        <f t="shared" si="66"/>
        <v>0</v>
      </c>
      <c r="B163" s="296">
        <f t="shared" ref="B163:H163" si="86">B111-(B111*$G$7)</f>
        <v>0</v>
      </c>
      <c r="C163" s="296">
        <f t="shared" si="86"/>
        <v>0</v>
      </c>
      <c r="D163" s="296">
        <f t="shared" si="86"/>
        <v>0</v>
      </c>
      <c r="E163" s="296">
        <f t="shared" si="86"/>
        <v>0</v>
      </c>
      <c r="F163" s="296">
        <f t="shared" si="86"/>
        <v>0</v>
      </c>
      <c r="G163" s="296">
        <f t="shared" si="86"/>
        <v>0</v>
      </c>
      <c r="H163" s="296">
        <f t="shared" si="86"/>
        <v>0</v>
      </c>
    </row>
    <row r="164" spans="1:20" ht="14.25" hidden="1" customHeight="1">
      <c r="A164" s="301">
        <f t="shared" si="66"/>
        <v>0</v>
      </c>
      <c r="B164" s="296">
        <f t="shared" ref="B164:H164" si="87">B112-(B112*$G$7)</f>
        <v>0</v>
      </c>
      <c r="C164" s="296">
        <f t="shared" si="87"/>
        <v>0</v>
      </c>
      <c r="D164" s="296">
        <f t="shared" si="87"/>
        <v>0</v>
      </c>
      <c r="E164" s="296">
        <f t="shared" si="87"/>
        <v>0</v>
      </c>
      <c r="F164" s="296">
        <f t="shared" si="87"/>
        <v>0</v>
      </c>
      <c r="G164" s="296">
        <f t="shared" si="87"/>
        <v>0</v>
      </c>
      <c r="H164" s="296">
        <f t="shared" si="87"/>
        <v>0</v>
      </c>
    </row>
    <row r="165" spans="1:20" ht="14.25" hidden="1" customHeight="1">
      <c r="A165" s="301" t="str">
        <f t="shared" si="66"/>
        <v>Pomegranate</v>
      </c>
      <c r="B165" s="296">
        <f t="shared" ref="B165:H165" si="88">B113-(B113*$G$7)</f>
        <v>0</v>
      </c>
      <c r="C165" s="296">
        <f t="shared" si="88"/>
        <v>0</v>
      </c>
      <c r="D165" s="296">
        <f t="shared" si="88"/>
        <v>0</v>
      </c>
      <c r="E165" s="296">
        <f t="shared" si="88"/>
        <v>0</v>
      </c>
      <c r="F165" s="296">
        <f t="shared" si="88"/>
        <v>0</v>
      </c>
      <c r="G165" s="296">
        <f t="shared" si="88"/>
        <v>0</v>
      </c>
      <c r="H165" s="296">
        <f t="shared" si="88"/>
        <v>0</v>
      </c>
    </row>
    <row r="166" spans="1:20" ht="14.25" hidden="1" customHeight="1">
      <c r="A166" s="301" t="str">
        <f t="shared" si="66"/>
        <v>Custard Apple</v>
      </c>
      <c r="B166" s="296">
        <f t="shared" ref="B166:H166" si="89">B114-(B114*$G$7)</f>
        <v>0</v>
      </c>
      <c r="C166" s="296">
        <f t="shared" si="89"/>
        <v>0</v>
      </c>
      <c r="D166" s="296">
        <f t="shared" si="89"/>
        <v>0</v>
      </c>
      <c r="E166" s="296">
        <f t="shared" si="89"/>
        <v>0</v>
      </c>
      <c r="F166" s="296">
        <f t="shared" si="89"/>
        <v>0</v>
      </c>
      <c r="G166" s="296">
        <f t="shared" si="89"/>
        <v>0</v>
      </c>
      <c r="H166" s="296">
        <f t="shared" si="89"/>
        <v>0</v>
      </c>
    </row>
    <row r="167" spans="1:20" ht="14.25" hidden="1" customHeight="1">
      <c r="A167" s="301" t="str">
        <f t="shared" si="66"/>
        <v>Guava</v>
      </c>
      <c r="B167" s="296">
        <f t="shared" ref="B167:H167" si="90">B115-(B115*$G$7)</f>
        <v>0</v>
      </c>
      <c r="C167" s="296">
        <f t="shared" si="90"/>
        <v>0</v>
      </c>
      <c r="D167" s="296">
        <f t="shared" si="90"/>
        <v>0</v>
      </c>
      <c r="E167" s="296">
        <f t="shared" si="90"/>
        <v>0</v>
      </c>
      <c r="F167" s="296">
        <f t="shared" si="90"/>
        <v>0</v>
      </c>
      <c r="G167" s="296">
        <f t="shared" si="90"/>
        <v>0</v>
      </c>
      <c r="H167" s="296">
        <f t="shared" si="90"/>
        <v>0</v>
      </c>
    </row>
    <row r="168" spans="1:20" ht="14.25" hidden="1" customHeight="1">
      <c r="A168" s="301" t="str">
        <f t="shared" si="66"/>
        <v>Citrus</v>
      </c>
      <c r="B168" s="296">
        <f t="shared" ref="B168:H168" si="91">B116-(B116*$G$7)</f>
        <v>0</v>
      </c>
      <c r="C168" s="296">
        <f t="shared" si="91"/>
        <v>0</v>
      </c>
      <c r="D168" s="296">
        <f t="shared" si="91"/>
        <v>0</v>
      </c>
      <c r="E168" s="296">
        <f t="shared" si="91"/>
        <v>0</v>
      </c>
      <c r="F168" s="296">
        <f t="shared" si="91"/>
        <v>0</v>
      </c>
      <c r="G168" s="296">
        <f t="shared" si="91"/>
        <v>0</v>
      </c>
      <c r="H168" s="296">
        <f t="shared" si="91"/>
        <v>0</v>
      </c>
    </row>
    <row r="169" spans="1:20" ht="14.25" customHeight="1">
      <c r="A169" s="92"/>
    </row>
    <row r="170" spans="1:20" ht="14.25" customHeight="1">
      <c r="A170" s="92"/>
    </row>
    <row r="171" spans="1:20" ht="14.25" customHeight="1">
      <c r="A171" s="92"/>
    </row>
    <row r="172" spans="1:20" ht="14.25" customHeight="1">
      <c r="A172" s="359" t="s">
        <v>631</v>
      </c>
      <c r="B172" s="360"/>
      <c r="C172" s="360"/>
      <c r="D172" s="360"/>
      <c r="E172" s="360"/>
      <c r="F172" s="360"/>
      <c r="G172" s="360"/>
      <c r="H172" s="360"/>
      <c r="I172" s="360"/>
      <c r="J172" s="360"/>
    </row>
    <row r="173" spans="1:20" ht="14.25" customHeight="1">
      <c r="A173" s="30"/>
      <c r="B173" s="30"/>
      <c r="C173" s="30"/>
      <c r="D173" s="30"/>
      <c r="E173" s="30"/>
      <c r="F173" s="30"/>
      <c r="G173" s="30"/>
      <c r="H173" s="30"/>
    </row>
    <row r="174" spans="1:20" ht="14.25" customHeight="1">
      <c r="A174" s="303"/>
      <c r="B174" s="303"/>
      <c r="C174" s="303"/>
      <c r="D174" s="304">
        <v>1</v>
      </c>
      <c r="E174" s="305">
        <f t="shared" ref="E174:J174" si="92">(D174*5%)+D174</f>
        <v>1.05</v>
      </c>
      <c r="F174" s="305">
        <f t="shared" si="92"/>
        <v>1.1025</v>
      </c>
      <c r="G174" s="305">
        <f t="shared" si="92"/>
        <v>1.1576250000000001</v>
      </c>
      <c r="H174" s="305">
        <f t="shared" si="92"/>
        <v>1.2155062500000002</v>
      </c>
      <c r="I174" s="305">
        <f t="shared" si="92"/>
        <v>1.2762815625000004</v>
      </c>
      <c r="J174" s="305">
        <f t="shared" si="92"/>
        <v>1.3400956406250004</v>
      </c>
      <c r="K174" s="92"/>
      <c r="L174" s="92"/>
      <c r="M174" s="92"/>
      <c r="N174" s="92"/>
      <c r="O174" s="92"/>
      <c r="P174" s="92"/>
      <c r="Q174" s="92"/>
      <c r="R174" s="92"/>
      <c r="S174" s="92"/>
      <c r="T174" s="92"/>
    </row>
    <row r="175" spans="1:20" ht="14.25" customHeight="1">
      <c r="A175" s="92"/>
      <c r="B175" s="92"/>
      <c r="C175" s="92"/>
      <c r="D175" s="92"/>
      <c r="E175" s="92"/>
      <c r="F175" s="92"/>
      <c r="G175" s="92"/>
      <c r="H175" s="92"/>
      <c r="I175" s="92"/>
      <c r="J175" s="92"/>
      <c r="K175" s="92"/>
      <c r="L175" s="92"/>
      <c r="M175" s="92"/>
      <c r="N175" s="92"/>
      <c r="O175" s="92"/>
      <c r="P175" s="92"/>
      <c r="Q175" s="92"/>
      <c r="R175" s="92"/>
      <c r="S175" s="92"/>
      <c r="T175" s="92"/>
    </row>
    <row r="176" spans="1:20" ht="14.25" customHeight="1">
      <c r="A176" s="92"/>
      <c r="B176" s="92"/>
      <c r="C176" s="92"/>
      <c r="D176" s="93"/>
      <c r="E176" s="93"/>
      <c r="F176" s="93"/>
      <c r="G176" s="93"/>
      <c r="H176" s="93"/>
      <c r="I176" s="93"/>
      <c r="J176" s="93"/>
      <c r="K176" s="92"/>
      <c r="L176" s="92"/>
    </row>
    <row r="177" spans="1:12" ht="14.25" customHeight="1">
      <c r="A177" s="168" t="s">
        <v>201</v>
      </c>
      <c r="B177" s="168"/>
      <c r="C177" s="168" t="s">
        <v>129</v>
      </c>
      <c r="D177" s="169" t="s">
        <v>204</v>
      </c>
      <c r="E177" s="169" t="s">
        <v>205</v>
      </c>
      <c r="F177" s="169" t="s">
        <v>206</v>
      </c>
      <c r="G177" s="169" t="s">
        <v>207</v>
      </c>
      <c r="H177" s="169" t="s">
        <v>208</v>
      </c>
      <c r="I177" s="169" t="s">
        <v>209</v>
      </c>
      <c r="J177" s="169" t="s">
        <v>210</v>
      </c>
      <c r="K177" s="92"/>
      <c r="L177" s="92"/>
    </row>
    <row r="178" spans="1:12" ht="14.25" customHeight="1">
      <c r="A178" s="98"/>
      <c r="B178" s="98"/>
      <c r="C178" s="98"/>
      <c r="D178" s="56"/>
      <c r="E178" s="56"/>
      <c r="F178" s="56"/>
      <c r="G178" s="56"/>
      <c r="H178" s="56"/>
      <c r="I178" s="56"/>
      <c r="J178" s="56"/>
      <c r="K178" s="92"/>
      <c r="L178" s="92"/>
    </row>
    <row r="179" spans="1:12" ht="14.25" customHeight="1">
      <c r="A179" s="98" t="s">
        <v>396</v>
      </c>
      <c r="B179" s="98"/>
      <c r="C179" s="98"/>
      <c r="D179" s="56"/>
      <c r="E179" s="56"/>
      <c r="F179" s="56"/>
      <c r="G179" s="56"/>
      <c r="H179" s="56"/>
      <c r="I179" s="56"/>
      <c r="J179" s="56"/>
      <c r="K179" s="92"/>
      <c r="L179" s="92"/>
    </row>
    <row r="180" spans="1:12" ht="14.25" customHeight="1">
      <c r="A180" s="56" t="s">
        <v>632</v>
      </c>
      <c r="B180" s="56" t="s">
        <v>633</v>
      </c>
      <c r="C180" s="99">
        <f>28*50</f>
        <v>1400</v>
      </c>
      <c r="D180" s="301">
        <f>((((1-'5.Closing Stock &amp; W Capital'!$D$16)*B127)*100)/50)*$C180*D$174</f>
        <v>10027949.294999998</v>
      </c>
      <c r="E180" s="301">
        <f>(((((1-'5.Closing Stock &amp; W Capital'!$D$16)*C127)+('5.Closing Stock &amp; W Capital'!$D$16*B127))*100)/50)*$C180*E$174</f>
        <v>12838414.031624999</v>
      </c>
      <c r="F180" s="301">
        <f>(((((1-'5.Closing Stock &amp; W Capital'!$D$16)*D127)+('5.Closing Stock &amp; W Capital'!$D$16*C127))*100)/50)*$C180*F$174</f>
        <v>15419951.241581252</v>
      </c>
      <c r="G180" s="301">
        <f>(((((1-'5.Closing Stock &amp; W Capital'!$D$16)*E127)+('5.Closing Stock &amp; W Capital'!$D$16*D127))*100)/50)*$C180*G$174</f>
        <v>18227546.137454066</v>
      </c>
      <c r="H180" s="301">
        <f>(((((1-'5.Closing Stock &amp; W Capital'!$D$16)*F127)+('5.Closing Stock &amp; W Capital'!$D$16*E127))*100)/50)*$C180*H$174</f>
        <v>21277350.644810207</v>
      </c>
      <c r="I180" s="301">
        <f>(((((1-'5.Closing Stock &amp; W Capital'!$D$16)*G127)+('5.Closing Stock &amp; W Capital'!$D$16*F127))*100)/50)*$C180*I$174</f>
        <v>24586566.737558324</v>
      </c>
      <c r="J180" s="301">
        <f>(((((1-'5.Closing Stock &amp; W Capital'!$D$16)*H127)+('5.Closing Stock &amp; W Capital'!$D$16*G127))*100)/50)*$C180*J$174</f>
        <v>28173511.062969234</v>
      </c>
      <c r="K180" s="92"/>
      <c r="L180" s="92"/>
    </row>
    <row r="181" spans="1:12" ht="14.25" customHeight="1">
      <c r="A181" s="56" t="s">
        <v>634</v>
      </c>
      <c r="B181" s="56" t="s">
        <v>635</v>
      </c>
      <c r="C181" s="99">
        <f>23*50</f>
        <v>1150</v>
      </c>
      <c r="D181" s="301">
        <f>((((1-'5.Closing Stock &amp; W Capital'!$D$16)*B129)*100)/50)*$C181*D$174</f>
        <v>13878108.798605999</v>
      </c>
      <c r="E181" s="301">
        <f>(((((1-'5.Closing Stock &amp; W Capital'!$D$16)*C129)+('5.Closing Stock &amp; W Capital'!$D$16*B129))*100)/50)*$C181*E$174</f>
        <v>17767631.396110047</v>
      </c>
      <c r="F181" s="301">
        <f>(((((1-'5.Closing Stock &amp; W Capital'!$D$16)*D129)+('5.Closing Stock &amp; W Capital'!$D$16*C129))*100)/50)*$C181*F$174</f>
        <v>21340331.378277503</v>
      </c>
      <c r="G181" s="301">
        <f>(((((1-'5.Closing Stock &amp; W Capital'!$D$16)*E129)+('5.Closing Stock &amp; W Capital'!$D$16*D129))*100)/50)*$C181*G$174</f>
        <v>25225882.280171424</v>
      </c>
      <c r="H181" s="301">
        <f>(((((1-'5.Closing Stock &amp; W Capital'!$D$16)*F129)+('5.Closing Stock &amp; W Capital'!$D$16*E129))*100)/50)*$C181*H$174</f>
        <v>29446637.443809047</v>
      </c>
      <c r="I181" s="301">
        <f>(((((1-'5.Closing Stock &amp; W Capital'!$D$16)*G129)+('5.Closing Stock &amp; W Capital'!$D$16*F129))*100)/50)*$C181*I$174</f>
        <v>34026403.418110006</v>
      </c>
      <c r="J181" s="301">
        <f>(((((1-'5.Closing Stock &amp; W Capital'!$D$16)*H129)+('5.Closing Stock &amp; W Capital'!$D$16*G129))*100)/50)*$C181*J$174</f>
        <v>38990529.39623154</v>
      </c>
      <c r="K181" s="92"/>
      <c r="L181" s="92"/>
    </row>
    <row r="182" spans="1:12" ht="14.25" customHeight="1">
      <c r="A182" s="98"/>
      <c r="B182" s="98"/>
      <c r="C182" s="98"/>
      <c r="D182" s="56"/>
      <c r="E182" s="56"/>
      <c r="F182" s="301"/>
      <c r="G182" s="301"/>
      <c r="H182" s="301"/>
      <c r="I182" s="301"/>
      <c r="J182" s="301"/>
      <c r="K182" s="92"/>
      <c r="L182" s="92"/>
    </row>
    <row r="183" spans="1:12" ht="14.25" customHeight="1">
      <c r="A183" s="98" t="s">
        <v>403</v>
      </c>
      <c r="B183" s="98"/>
      <c r="C183" s="98"/>
      <c r="D183" s="297">
        <f t="shared" ref="D183:J183" si="93">SUM(D180:D182)</f>
        <v>23906058.093605995</v>
      </c>
      <c r="E183" s="297">
        <f t="shared" si="93"/>
        <v>30606045.427735046</v>
      </c>
      <c r="F183" s="297">
        <f t="shared" si="93"/>
        <v>36760282.619858757</v>
      </c>
      <c r="G183" s="297">
        <f t="shared" si="93"/>
        <v>43453428.417625487</v>
      </c>
      <c r="H183" s="297">
        <f t="shared" si="93"/>
        <v>50723988.088619255</v>
      </c>
      <c r="I183" s="297">
        <f t="shared" si="93"/>
        <v>58612970.155668333</v>
      </c>
      <c r="J183" s="297">
        <f t="shared" si="93"/>
        <v>67164040.45920077</v>
      </c>
      <c r="K183" s="92"/>
      <c r="L183" s="92"/>
    </row>
    <row r="184" spans="1:12" ht="14.25" customHeight="1">
      <c r="A184" s="56"/>
      <c r="B184" s="56"/>
      <c r="C184" s="56"/>
      <c r="D184" s="56"/>
      <c r="E184" s="56"/>
      <c r="F184" s="56"/>
      <c r="G184" s="56"/>
      <c r="H184" s="56"/>
      <c r="I184" s="56"/>
      <c r="J184" s="56"/>
      <c r="K184" s="92"/>
      <c r="L184" s="92"/>
    </row>
    <row r="185" spans="1:12" ht="14.25" customHeight="1">
      <c r="A185" s="98" t="s">
        <v>636</v>
      </c>
      <c r="B185" s="98"/>
      <c r="C185" s="98"/>
      <c r="D185" s="56"/>
      <c r="E185" s="56"/>
      <c r="F185" s="56"/>
      <c r="G185" s="56"/>
      <c r="H185" s="56"/>
      <c r="I185" s="56"/>
      <c r="J185" s="56"/>
      <c r="K185" s="92"/>
      <c r="L185" s="92"/>
    </row>
    <row r="186" spans="1:12" ht="14.25" customHeight="1">
      <c r="A186" s="98" t="s">
        <v>404</v>
      </c>
      <c r="B186" s="98"/>
      <c r="C186" s="56"/>
      <c r="D186" s="56"/>
      <c r="E186" s="56"/>
      <c r="F186" s="56"/>
      <c r="G186" s="56"/>
      <c r="H186" s="56"/>
      <c r="I186" s="56"/>
      <c r="J186" s="56"/>
      <c r="K186" s="92"/>
      <c r="L186" s="92"/>
    </row>
    <row r="187" spans="1:12" ht="14.25" customHeight="1">
      <c r="A187" s="56" t="s">
        <v>575</v>
      </c>
      <c r="B187" s="56" t="s">
        <v>637</v>
      </c>
      <c r="C187" s="97">
        <v>1800</v>
      </c>
      <c r="D187" s="97">
        <f t="shared" ref="D187:J187" si="94">B77*$C$187*D174</f>
        <v>11768159.52</v>
      </c>
      <c r="E187" s="97">
        <f t="shared" si="94"/>
        <v>14415995.411999999</v>
      </c>
      <c r="F187" s="97">
        <f t="shared" si="94"/>
        <v>17299194.494399998</v>
      </c>
      <c r="G187" s="97">
        <f t="shared" si="94"/>
        <v>20434673.496509999</v>
      </c>
      <c r="H187" s="97">
        <f t="shared" si="94"/>
        <v>23840452.412595</v>
      </c>
      <c r="I187" s="97">
        <f t="shared" si="94"/>
        <v>27535722.536547229</v>
      </c>
      <c r="J187" s="97">
        <f t="shared" si="94"/>
        <v>31540918.541863192</v>
      </c>
      <c r="K187" s="92"/>
      <c r="L187" s="92"/>
    </row>
    <row r="188" spans="1:12" ht="14.25" customHeight="1">
      <c r="A188" s="56" t="s">
        <v>571</v>
      </c>
      <c r="B188" s="56" t="s">
        <v>637</v>
      </c>
      <c r="C188" s="97">
        <v>2300</v>
      </c>
      <c r="D188" s="97">
        <f t="shared" ref="D188:J188" si="95">B75*$C$188*D174</f>
        <v>8925150</v>
      </c>
      <c r="E188" s="97">
        <f t="shared" si="95"/>
        <v>10933308.75</v>
      </c>
      <c r="F188" s="97">
        <f t="shared" si="95"/>
        <v>13119970.5</v>
      </c>
      <c r="G188" s="97">
        <f t="shared" si="95"/>
        <v>15497965.153125001</v>
      </c>
      <c r="H188" s="97">
        <f t="shared" si="95"/>
        <v>18080959.345312502</v>
      </c>
      <c r="I188" s="97">
        <f t="shared" si="95"/>
        <v>20883508.043835942</v>
      </c>
      <c r="J188" s="97">
        <f t="shared" si="95"/>
        <v>23921109.213848449</v>
      </c>
      <c r="K188" s="92"/>
      <c r="L188" s="92"/>
    </row>
    <row r="189" spans="1:12" ht="14.25" customHeight="1">
      <c r="A189" s="56" t="s">
        <v>638</v>
      </c>
      <c r="B189" s="56">
        <v>5</v>
      </c>
      <c r="C189" s="56">
        <v>300</v>
      </c>
      <c r="D189" s="97">
        <f>B10*$B$189*$C$189*D174</f>
        <v>195344.37</v>
      </c>
      <c r="E189" s="97">
        <f t="shared" ref="D189:J189" si="96">C10*$B$189*$C$189*E174</f>
        <v>239296.85325000001</v>
      </c>
      <c r="F189" s="97">
        <f t="shared" si="96"/>
        <v>287156.22389999992</v>
      </c>
      <c r="G189" s="97">
        <f t="shared" si="96"/>
        <v>339203.28948187502</v>
      </c>
      <c r="H189" s="97">
        <f t="shared" si="96"/>
        <v>395737.17106218747</v>
      </c>
      <c r="I189" s="97">
        <f t="shared" si="96"/>
        <v>457076.43257682672</v>
      </c>
      <c r="J189" s="97">
        <f t="shared" si="96"/>
        <v>523560.27731527423</v>
      </c>
      <c r="K189" s="92"/>
      <c r="L189" s="92"/>
    </row>
    <row r="190" spans="1:12" ht="14.25" customHeight="1">
      <c r="A190" s="56" t="s">
        <v>639</v>
      </c>
      <c r="B190" s="56">
        <f>25*0.746*8</f>
        <v>149.19999999999999</v>
      </c>
      <c r="C190" s="56">
        <v>8</v>
      </c>
      <c r="D190" s="97">
        <f t="shared" ref="D190:J190" si="97">B10*$B$190*$C$190*D174</f>
        <v>155442.02668799998</v>
      </c>
      <c r="E190" s="97">
        <f t="shared" si="97"/>
        <v>190416.4826928</v>
      </c>
      <c r="F190" s="97">
        <f t="shared" si="97"/>
        <v>228499.77923135998</v>
      </c>
      <c r="G190" s="97">
        <f t="shared" si="97"/>
        <v>269915.36421704397</v>
      </c>
      <c r="H190" s="97">
        <f t="shared" si="97"/>
        <v>314901.25825321797</v>
      </c>
      <c r="I190" s="97">
        <f t="shared" si="97"/>
        <v>363710.95328246686</v>
      </c>
      <c r="J190" s="97">
        <f t="shared" si="97"/>
        <v>416614.36466900748</v>
      </c>
      <c r="K190" s="92"/>
      <c r="L190" s="92"/>
    </row>
    <row r="191" spans="1:12" ht="14.25" customHeight="1">
      <c r="A191" s="56" t="s">
        <v>640</v>
      </c>
      <c r="B191" s="56"/>
      <c r="C191" s="171">
        <v>0.02</v>
      </c>
      <c r="D191" s="97">
        <f>'1.Project Cost and MOF'!$D$6*$C$191*D174</f>
        <v>251941.98480000001</v>
      </c>
      <c r="E191" s="97">
        <f>'1.Project Cost and MOF'!$D$6*$C$191*E174</f>
        <v>264539.08404000005</v>
      </c>
      <c r="F191" s="97">
        <f>'1.Project Cost and MOF'!$D$6*$C$191*F174</f>
        <v>277766.03824200004</v>
      </c>
      <c r="G191" s="97">
        <f>'1.Project Cost and MOF'!$D$6*$C$191*G174</f>
        <v>291654.34015410003</v>
      </c>
      <c r="H191" s="97">
        <f>'1.Project Cost and MOF'!$D$6*$C$191*H174</f>
        <v>306237.05716180505</v>
      </c>
      <c r="I191" s="97">
        <f>'1.Project Cost and MOF'!$D$6*$C$191*I174</f>
        <v>321548.91001989535</v>
      </c>
      <c r="J191" s="97">
        <f>'1.Project Cost and MOF'!$D$6*$C$191*J174</f>
        <v>337626.35552089015</v>
      </c>
      <c r="K191" s="92"/>
      <c r="L191" s="92"/>
    </row>
    <row r="192" spans="1:12" ht="14.25" customHeight="1">
      <c r="A192" s="56" t="s">
        <v>641</v>
      </c>
      <c r="B192" s="56"/>
      <c r="C192" s="56">
        <v>10</v>
      </c>
      <c r="D192" s="97">
        <f t="shared" ref="D192:J192" si="98">((B77*100)/50)*$C$192*D174</f>
        <v>130757.32799999999</v>
      </c>
      <c r="E192" s="97">
        <f t="shared" si="98"/>
        <v>160177.72680000003</v>
      </c>
      <c r="F192" s="97">
        <f t="shared" si="98"/>
        <v>192213.27215999999</v>
      </c>
      <c r="G192" s="97">
        <f t="shared" si="98"/>
        <v>227051.92773899998</v>
      </c>
      <c r="H192" s="97">
        <f t="shared" si="98"/>
        <v>264893.91569549998</v>
      </c>
      <c r="I192" s="97">
        <f t="shared" si="98"/>
        <v>305952.47262830258</v>
      </c>
      <c r="J192" s="97">
        <f t="shared" si="98"/>
        <v>350454.65046514658</v>
      </c>
      <c r="K192" s="92"/>
      <c r="L192" s="92"/>
    </row>
    <row r="193" spans="1:20" ht="14.25" customHeight="1">
      <c r="A193" s="56" t="s">
        <v>642</v>
      </c>
      <c r="B193" s="56"/>
      <c r="C193" s="56"/>
      <c r="D193" s="97"/>
      <c r="E193" s="97"/>
      <c r="F193" s="97"/>
      <c r="G193" s="97"/>
      <c r="H193" s="97"/>
      <c r="I193" s="97"/>
      <c r="J193" s="97"/>
      <c r="K193" s="92"/>
      <c r="L193" s="92"/>
    </row>
    <row r="194" spans="1:20" ht="14.25" customHeight="1">
      <c r="A194" s="56" t="s">
        <v>635</v>
      </c>
      <c r="B194" s="56"/>
      <c r="C194" s="56">
        <v>25</v>
      </c>
      <c r="D194" s="97">
        <f t="shared" ref="D194:J194" si="99">((SUM(B127:B129)*100)/50)*$C$194*D174</f>
        <v>506072.14788</v>
      </c>
      <c r="E194" s="97">
        <f t="shared" si="99"/>
        <v>619938.38115300005</v>
      </c>
      <c r="F194" s="97">
        <f t="shared" si="99"/>
        <v>743926.05738360004</v>
      </c>
      <c r="G194" s="97">
        <f t="shared" si="99"/>
        <v>878762.65528437751</v>
      </c>
      <c r="H194" s="97">
        <f t="shared" si="99"/>
        <v>1025223.0978317739</v>
      </c>
      <c r="I194" s="97">
        <f t="shared" si="99"/>
        <v>1184132.677995699</v>
      </c>
      <c r="J194" s="97">
        <f t="shared" si="99"/>
        <v>1356370.1584314371</v>
      </c>
      <c r="K194" s="92"/>
      <c r="L194" s="92"/>
    </row>
    <row r="195" spans="1:20" ht="14.25" customHeight="1">
      <c r="A195" s="56" t="s">
        <v>643</v>
      </c>
      <c r="B195" s="64"/>
      <c r="C195" s="64">
        <v>30</v>
      </c>
      <c r="D195" s="97">
        <f t="shared" ref="D195:J195" si="100">((SUM(B127:B129)*100)/50)*$C$195*D174</f>
        <v>607286.57745600003</v>
      </c>
      <c r="E195" s="97">
        <f t="shared" si="100"/>
        <v>743926.05738360016</v>
      </c>
      <c r="F195" s="97">
        <f t="shared" si="100"/>
        <v>892711.26886032009</v>
      </c>
      <c r="G195" s="97">
        <f t="shared" si="100"/>
        <v>1054515.1863412531</v>
      </c>
      <c r="H195" s="97">
        <f t="shared" si="100"/>
        <v>1230267.7173981287</v>
      </c>
      <c r="I195" s="97">
        <f t="shared" si="100"/>
        <v>1420959.213594839</v>
      </c>
      <c r="J195" s="97">
        <f t="shared" si="100"/>
        <v>1627644.1901177245</v>
      </c>
      <c r="K195" s="158">
        <f>D195+'13.Facility 2 Cleaning &amp; Gradin'!D156+'17.Facility 6 Roasted Channa '!D169</f>
        <v>764203.752936</v>
      </c>
      <c r="L195" s="92"/>
    </row>
    <row r="196" spans="1:20" ht="14.25" customHeight="1">
      <c r="A196" s="64"/>
      <c r="B196" s="64"/>
      <c r="C196" s="64"/>
      <c r="D196" s="144"/>
      <c r="E196" s="64"/>
      <c r="F196" s="64"/>
      <c r="G196" s="64"/>
      <c r="H196" s="64"/>
      <c r="I196" s="64"/>
      <c r="J196" s="64"/>
      <c r="K196" s="92">
        <f>63/0.746</f>
        <v>84.450402144772113</v>
      </c>
      <c r="L196" s="92"/>
    </row>
    <row r="197" spans="1:20" ht="14.25" customHeight="1">
      <c r="A197" s="64"/>
      <c r="B197" s="64"/>
      <c r="C197" s="64"/>
      <c r="D197" s="64"/>
      <c r="E197" s="64"/>
      <c r="F197" s="64"/>
      <c r="G197" s="64"/>
      <c r="H197" s="64"/>
      <c r="I197" s="64"/>
      <c r="J197" s="64"/>
      <c r="K197" s="92"/>
      <c r="L197" s="92"/>
    </row>
    <row r="198" spans="1:20" ht="14.25" customHeight="1">
      <c r="A198" s="56" t="s">
        <v>644</v>
      </c>
      <c r="B198" s="56"/>
      <c r="C198" s="56"/>
      <c r="D198" s="301"/>
      <c r="E198" s="301">
        <f>'5.Closing Stock &amp; W Capital'!F7</f>
        <v>1127007.6977412</v>
      </c>
      <c r="F198" s="301">
        <f>'5.Closing Stock &amp; W Capital'!G7</f>
        <v>1378379.9373659701</v>
      </c>
      <c r="G198" s="301">
        <f>'5.Closing Stock &amp; W Capital'!H7</f>
        <v>1652071.8817088641</v>
      </c>
      <c r="H198" s="301">
        <f>'5.Closing Stock &amp; W Capital'!I7</f>
        <v>1949687.0706426327</v>
      </c>
      <c r="I198" s="301">
        <f>'5.Closing Stock &amp; W Capital'!J7</f>
        <v>2272933.5987655059</v>
      </c>
      <c r="J198" s="301">
        <f>'5.Closing Stock &amp; W Capital'!K7</f>
        <v>2623630.5620240602</v>
      </c>
      <c r="K198" s="92"/>
      <c r="L198" s="92"/>
    </row>
    <row r="199" spans="1:20" ht="14.25" customHeight="1">
      <c r="A199" s="56" t="s">
        <v>645</v>
      </c>
      <c r="B199" s="56"/>
      <c r="C199" s="301"/>
      <c r="D199" s="301">
        <f>'5.Closing Stock &amp; W Capital'!E16</f>
        <v>1127007.6977412</v>
      </c>
      <c r="E199" s="301">
        <f>'5.Closing Stock &amp; W Capital'!F16</f>
        <v>1378379.9373659701</v>
      </c>
      <c r="F199" s="301">
        <f>'5.Closing Stock &amp; W Capital'!G16</f>
        <v>1652071.8817088641</v>
      </c>
      <c r="G199" s="301">
        <f>'5.Closing Stock &amp; W Capital'!H16</f>
        <v>1949687.0706426327</v>
      </c>
      <c r="H199" s="301">
        <f>'5.Closing Stock &amp; W Capital'!I16</f>
        <v>2272933.5987655059</v>
      </c>
      <c r="I199" s="301">
        <f>'5.Closing Stock &amp; W Capital'!J16</f>
        <v>2623630.5620240602</v>
      </c>
      <c r="J199" s="301">
        <f>'5.Closing Stock &amp; W Capital'!K16</f>
        <v>3003714.8876115568</v>
      </c>
      <c r="K199" s="92"/>
      <c r="L199" s="92"/>
    </row>
    <row r="200" spans="1:20" ht="14.25" customHeight="1">
      <c r="A200" s="56"/>
      <c r="B200" s="56"/>
      <c r="C200" s="97"/>
      <c r="D200" s="301"/>
      <c r="E200" s="301"/>
      <c r="F200" s="301"/>
      <c r="G200" s="301"/>
      <c r="H200" s="301"/>
      <c r="I200" s="301"/>
      <c r="J200" s="301"/>
      <c r="K200" s="92"/>
      <c r="L200" s="92"/>
      <c r="M200" s="92"/>
      <c r="N200" s="92"/>
      <c r="O200" s="92"/>
      <c r="P200" s="92"/>
      <c r="Q200" s="92"/>
      <c r="R200" s="92"/>
      <c r="S200" s="92"/>
      <c r="T200" s="92"/>
    </row>
    <row r="201" spans="1:20" ht="14.25" customHeight="1">
      <c r="A201" s="98" t="s">
        <v>405</v>
      </c>
      <c r="B201" s="98"/>
      <c r="C201" s="98"/>
      <c r="D201" s="99">
        <f t="shared" ref="D201:J201" si="101">SUM(D187:D198)-D199</f>
        <v>21413146.257082801</v>
      </c>
      <c r="E201" s="99">
        <f t="shared" si="101"/>
        <v>27316226.507694628</v>
      </c>
      <c r="F201" s="99">
        <f t="shared" si="101"/>
        <v>32767745.68983439</v>
      </c>
      <c r="G201" s="99">
        <f t="shared" si="101"/>
        <v>38696126.223918885</v>
      </c>
      <c r="H201" s="99">
        <f t="shared" si="101"/>
        <v>45135425.447187245</v>
      </c>
      <c r="I201" s="99">
        <f t="shared" si="101"/>
        <v>52121914.277222648</v>
      </c>
      <c r="J201" s="99">
        <f t="shared" si="101"/>
        <v>59694213.426643625</v>
      </c>
      <c r="K201" s="92"/>
      <c r="L201" s="92"/>
      <c r="M201" s="92"/>
      <c r="N201" s="92"/>
      <c r="O201" s="92"/>
      <c r="P201" s="92"/>
      <c r="Q201" s="92"/>
      <c r="R201" s="92"/>
      <c r="S201" s="92"/>
      <c r="T201" s="92"/>
    </row>
    <row r="202" spans="1:20" ht="14.25" customHeight="1">
      <c r="A202" s="98" t="s">
        <v>406</v>
      </c>
      <c r="B202" s="56"/>
      <c r="C202" s="56"/>
      <c r="D202" s="245"/>
      <c r="E202" s="245"/>
      <c r="F202" s="245"/>
      <c r="G202" s="245"/>
      <c r="H202" s="245"/>
      <c r="I202" s="56"/>
      <c r="J202" s="56"/>
      <c r="K202" s="92"/>
      <c r="L202" s="92"/>
      <c r="M202" s="92"/>
      <c r="N202" s="92"/>
      <c r="O202" s="92"/>
      <c r="P202" s="92"/>
      <c r="Q202" s="92"/>
      <c r="R202" s="92"/>
      <c r="S202" s="92"/>
      <c r="T202" s="92"/>
    </row>
    <row r="203" spans="1:20" ht="14.25" customHeight="1">
      <c r="A203" s="56" t="s">
        <v>646</v>
      </c>
      <c r="B203" s="56">
        <v>1</v>
      </c>
      <c r="C203" s="97">
        <v>12000</v>
      </c>
      <c r="D203" s="97">
        <f t="shared" ref="D203:J203" si="102">$B203*$C203*12*D$174</f>
        <v>144000</v>
      </c>
      <c r="E203" s="97">
        <f t="shared" si="102"/>
        <v>151200</v>
      </c>
      <c r="F203" s="97">
        <f t="shared" si="102"/>
        <v>158760</v>
      </c>
      <c r="G203" s="97">
        <f t="shared" si="102"/>
        <v>166698.00000000003</v>
      </c>
      <c r="H203" s="97">
        <f t="shared" si="102"/>
        <v>175032.90000000002</v>
      </c>
      <c r="I203" s="97">
        <f t="shared" si="102"/>
        <v>183784.54500000004</v>
      </c>
      <c r="J203" s="97">
        <f t="shared" si="102"/>
        <v>192973.77225000007</v>
      </c>
      <c r="K203" s="92"/>
      <c r="L203" s="92"/>
      <c r="M203" s="92"/>
      <c r="N203" s="92"/>
      <c r="O203" s="92"/>
      <c r="P203" s="92"/>
      <c r="Q203" s="92"/>
      <c r="R203" s="92"/>
      <c r="S203" s="92"/>
      <c r="T203" s="92"/>
    </row>
    <row r="204" spans="1:20" ht="14.25" customHeight="1">
      <c r="A204" s="56" t="s">
        <v>647</v>
      </c>
      <c r="B204" s="56">
        <v>1</v>
      </c>
      <c r="C204" s="97">
        <v>8000</v>
      </c>
      <c r="D204" s="97">
        <f t="shared" ref="D204:J204" si="103">$B204*$C204*12*D$174</f>
        <v>96000</v>
      </c>
      <c r="E204" s="97">
        <f t="shared" si="103"/>
        <v>100800</v>
      </c>
      <c r="F204" s="97">
        <f t="shared" si="103"/>
        <v>105840</v>
      </c>
      <c r="G204" s="97">
        <f t="shared" si="103"/>
        <v>111132.00000000001</v>
      </c>
      <c r="H204" s="97">
        <f t="shared" si="103"/>
        <v>116688.60000000002</v>
      </c>
      <c r="I204" s="97">
        <f t="shared" si="103"/>
        <v>122523.03000000003</v>
      </c>
      <c r="J204" s="97">
        <f t="shared" si="103"/>
        <v>128649.18150000004</v>
      </c>
      <c r="K204" s="92"/>
      <c r="L204" s="92"/>
      <c r="M204" s="92"/>
      <c r="N204" s="92"/>
      <c r="O204" s="92"/>
      <c r="P204" s="92"/>
      <c r="Q204" s="92"/>
      <c r="R204" s="92"/>
      <c r="S204" s="92"/>
      <c r="T204" s="92"/>
    </row>
    <row r="205" spans="1:20" ht="14.25" customHeight="1">
      <c r="A205" s="56"/>
      <c r="B205" s="56"/>
      <c r="C205" s="97"/>
      <c r="D205" s="97"/>
      <c r="E205" s="97"/>
      <c r="F205" s="97"/>
      <c r="G205" s="97"/>
      <c r="H205" s="97"/>
      <c r="I205" s="97"/>
      <c r="J205" s="97"/>
      <c r="K205" s="92"/>
      <c r="L205" s="92"/>
      <c r="M205" s="92"/>
      <c r="N205" s="92"/>
      <c r="O205" s="92"/>
      <c r="P205" s="92"/>
      <c r="Q205" s="92"/>
      <c r="R205" s="92"/>
      <c r="S205" s="92"/>
      <c r="T205" s="92"/>
    </row>
    <row r="206" spans="1:20" ht="14.25" customHeight="1">
      <c r="A206" s="56"/>
      <c r="B206" s="56"/>
      <c r="C206" s="97"/>
      <c r="D206" s="97"/>
      <c r="E206" s="97"/>
      <c r="F206" s="97"/>
      <c r="G206" s="97"/>
      <c r="H206" s="97"/>
      <c r="I206" s="97"/>
      <c r="J206" s="97"/>
      <c r="K206" s="92"/>
      <c r="L206" s="92"/>
      <c r="M206" s="92"/>
      <c r="N206" s="92"/>
      <c r="O206" s="92"/>
      <c r="P206" s="92"/>
      <c r="Q206" s="92"/>
      <c r="R206" s="92"/>
      <c r="S206" s="92"/>
      <c r="T206" s="92"/>
    </row>
    <row r="207" spans="1:20" ht="14.25" customHeight="1">
      <c r="A207" s="56"/>
      <c r="B207" s="56"/>
      <c r="C207" s="97"/>
      <c r="D207" s="97"/>
      <c r="E207" s="97"/>
      <c r="F207" s="97"/>
      <c r="G207" s="97"/>
      <c r="H207" s="97"/>
      <c r="I207" s="97"/>
      <c r="J207" s="97"/>
      <c r="K207" s="92"/>
      <c r="L207" s="92"/>
      <c r="M207" s="92"/>
      <c r="N207" s="92"/>
      <c r="O207" s="92"/>
      <c r="P207" s="92"/>
      <c r="Q207" s="92"/>
      <c r="R207" s="92"/>
      <c r="S207" s="92"/>
      <c r="T207" s="92"/>
    </row>
    <row r="208" spans="1:20" ht="14.25" customHeight="1">
      <c r="A208" s="98" t="s">
        <v>408</v>
      </c>
      <c r="B208" s="98"/>
      <c r="C208" s="98"/>
      <c r="D208" s="99">
        <f t="shared" ref="D208:J208" si="104">SUM(D203:D207)</f>
        <v>240000</v>
      </c>
      <c r="E208" s="99">
        <f t="shared" si="104"/>
        <v>252000</v>
      </c>
      <c r="F208" s="99">
        <f t="shared" si="104"/>
        <v>264600</v>
      </c>
      <c r="G208" s="99">
        <f t="shared" si="104"/>
        <v>277830.00000000006</v>
      </c>
      <c r="H208" s="99">
        <f t="shared" si="104"/>
        <v>291721.50000000006</v>
      </c>
      <c r="I208" s="99">
        <f t="shared" si="104"/>
        <v>306307.57500000007</v>
      </c>
      <c r="J208" s="99">
        <f t="shared" si="104"/>
        <v>321622.9537500001</v>
      </c>
      <c r="K208" s="92"/>
      <c r="L208" s="92"/>
      <c r="M208" s="92"/>
      <c r="N208" s="306"/>
      <c r="O208" s="92"/>
      <c r="P208" s="92"/>
      <c r="Q208" s="92"/>
      <c r="R208" s="92"/>
      <c r="S208" s="92"/>
      <c r="T208" s="92"/>
    </row>
    <row r="209" spans="1:20" ht="14.25" customHeight="1">
      <c r="A209" s="98" t="s">
        <v>648</v>
      </c>
      <c r="B209" s="98"/>
      <c r="C209" s="98"/>
      <c r="D209" s="99">
        <f t="shared" ref="D209:J209" si="105">D201+D208</f>
        <v>21653146.257082801</v>
      </c>
      <c r="E209" s="99">
        <f t="shared" si="105"/>
        <v>27568226.507694628</v>
      </c>
      <c r="F209" s="99">
        <f t="shared" si="105"/>
        <v>33032345.68983439</v>
      </c>
      <c r="G209" s="99">
        <f t="shared" si="105"/>
        <v>38973956.223918885</v>
      </c>
      <c r="H209" s="99">
        <f t="shared" si="105"/>
        <v>45427146.947187245</v>
      </c>
      <c r="I209" s="99">
        <f t="shared" si="105"/>
        <v>52428221.852222651</v>
      </c>
      <c r="J209" s="99">
        <f t="shared" si="105"/>
        <v>60015836.380393624</v>
      </c>
      <c r="K209" s="92"/>
      <c r="L209" s="92"/>
      <c r="M209" s="92"/>
      <c r="N209" s="92"/>
      <c r="O209" s="92"/>
      <c r="P209" s="92"/>
      <c r="Q209" s="92"/>
      <c r="R209" s="92"/>
      <c r="S209" s="92"/>
      <c r="T209" s="92"/>
    </row>
    <row r="210" spans="1:20" ht="14.25" customHeight="1">
      <c r="A210" s="56"/>
      <c r="B210" s="56"/>
      <c r="C210" s="56"/>
      <c r="D210" s="245"/>
      <c r="E210" s="245"/>
      <c r="F210" s="245"/>
      <c r="G210" s="245"/>
      <c r="H210" s="245"/>
      <c r="I210" s="56"/>
      <c r="J210" s="56"/>
      <c r="K210" s="92"/>
      <c r="L210" s="92"/>
      <c r="M210" s="92"/>
      <c r="N210" s="92"/>
      <c r="O210" s="92"/>
      <c r="P210" s="92"/>
      <c r="Q210" s="92"/>
      <c r="R210" s="92"/>
      <c r="S210" s="92"/>
      <c r="T210" s="92"/>
    </row>
    <row r="211" spans="1:20" ht="14.25" customHeight="1">
      <c r="A211" s="98"/>
      <c r="B211" s="98"/>
      <c r="C211" s="98"/>
      <c r="D211" s="245"/>
      <c r="E211" s="245"/>
      <c r="F211" s="245"/>
      <c r="G211" s="245"/>
      <c r="H211" s="245"/>
      <c r="I211" s="56"/>
      <c r="J211" s="56"/>
      <c r="K211" s="92"/>
      <c r="L211" s="92"/>
      <c r="M211" s="92"/>
      <c r="N211" s="92"/>
      <c r="O211" s="92"/>
      <c r="P211" s="92"/>
      <c r="Q211" s="92"/>
      <c r="R211" s="92"/>
      <c r="S211" s="92"/>
      <c r="T211" s="92"/>
    </row>
    <row r="212" spans="1:20" ht="14.25" customHeight="1">
      <c r="A212" s="98" t="s">
        <v>649</v>
      </c>
      <c r="B212" s="98"/>
      <c r="C212" s="98"/>
      <c r="D212" s="99">
        <f t="shared" ref="D212:J212" si="106">D183-D209</f>
        <v>2252911.8365231939</v>
      </c>
      <c r="E212" s="99">
        <f t="shared" si="106"/>
        <v>3037818.9200404175</v>
      </c>
      <c r="F212" s="99">
        <f t="shared" si="106"/>
        <v>3727936.9300243668</v>
      </c>
      <c r="G212" s="99">
        <f t="shared" si="106"/>
        <v>4479472.1937066019</v>
      </c>
      <c r="H212" s="99">
        <f t="shared" si="106"/>
        <v>5296841.1414320096</v>
      </c>
      <c r="I212" s="99">
        <f t="shared" si="106"/>
        <v>6184748.3034456819</v>
      </c>
      <c r="J212" s="99">
        <f t="shared" si="106"/>
        <v>7148204.0788071454</v>
      </c>
      <c r="K212" s="92"/>
      <c r="L212" s="92"/>
      <c r="M212" s="92"/>
      <c r="N212" s="92"/>
      <c r="O212" s="92"/>
      <c r="P212" s="92"/>
      <c r="Q212" s="92"/>
      <c r="R212" s="92"/>
      <c r="S212" s="92"/>
      <c r="T212" s="92"/>
    </row>
    <row r="213" spans="1:20" ht="14.25" customHeight="1">
      <c r="A213" s="92"/>
      <c r="B213" s="92"/>
      <c r="C213" s="92"/>
      <c r="D213" s="92"/>
      <c r="E213" s="92"/>
      <c r="F213" s="92"/>
      <c r="G213" s="92"/>
      <c r="H213" s="92"/>
      <c r="I213" s="92"/>
      <c r="J213" s="92"/>
    </row>
    <row r="214" spans="1:20" ht="14.25" customHeight="1">
      <c r="A214" s="92" t="s">
        <v>650</v>
      </c>
      <c r="B214" s="92"/>
      <c r="C214" s="92"/>
      <c r="D214" s="92"/>
      <c r="E214" s="92"/>
      <c r="F214" s="92"/>
      <c r="G214" s="92"/>
      <c r="H214" s="92"/>
      <c r="I214" s="92"/>
      <c r="J214" s="92"/>
    </row>
    <row r="215" spans="1:20" ht="14.25" customHeight="1">
      <c r="A215" s="362" t="s">
        <v>651</v>
      </c>
      <c r="B215" s="360"/>
      <c r="C215" s="360"/>
      <c r="D215" s="360"/>
      <c r="E215" s="360"/>
      <c r="F215" s="360"/>
      <c r="G215" s="360"/>
      <c r="H215" s="360"/>
      <c r="I215" s="360"/>
      <c r="J215" s="360"/>
    </row>
    <row r="216" spans="1:20" ht="14.25" customHeight="1"/>
    <row r="217" spans="1:20" ht="14.25" customHeight="1">
      <c r="A217" t="s">
        <v>361</v>
      </c>
    </row>
    <row r="218" spans="1:20" ht="14.25" customHeight="1">
      <c r="A218">
        <v>1</v>
      </c>
      <c r="B218" t="s">
        <v>652</v>
      </c>
    </row>
    <row r="219" spans="1:20" ht="14.25" customHeight="1">
      <c r="A219">
        <v>2</v>
      </c>
      <c r="B219" t="s">
        <v>653</v>
      </c>
    </row>
    <row r="220" spans="1:20" ht="14.25" customHeight="1">
      <c r="A220">
        <v>3</v>
      </c>
      <c r="B220" s="92" t="s">
        <v>654</v>
      </c>
    </row>
  </sheetData>
  <mergeCells count="5">
    <mergeCell ref="A172:J172"/>
    <mergeCell ref="A2:H2"/>
    <mergeCell ref="A215:J215"/>
    <mergeCell ref="F4:H4"/>
    <mergeCell ref="A3:H3"/>
  </mergeCells>
  <pageMargins left="0.7" right="0.7" top="0.75" bottom="0.75" header="0" footer="0"/>
  <pageSetup paperSize="9" scale="52"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86"/>
  <sheetViews>
    <sheetView topLeftCell="A204" workbookViewId="0"/>
  </sheetViews>
  <sheetFormatPr defaultColWidth="14.42578125" defaultRowHeight="15" customHeight="1"/>
  <cols>
    <col min="1" max="1" width="41.7109375" customWidth="1"/>
    <col min="2" max="3" width="10.5703125" customWidth="1"/>
    <col min="4" max="4" width="15.140625" customWidth="1"/>
    <col min="5" max="8" width="17.28515625" customWidth="1"/>
    <col min="9" max="10" width="16.85546875" customWidth="1"/>
    <col min="11" max="12" width="11.7109375" customWidth="1"/>
  </cols>
  <sheetData>
    <row r="1" spans="1:8" ht="14.25" customHeight="1"/>
    <row r="2" spans="1:8" ht="14.25" customHeight="1"/>
    <row r="3" spans="1:8" ht="14.25" customHeight="1">
      <c r="A3" s="359" t="s">
        <v>655</v>
      </c>
      <c r="B3" s="360"/>
      <c r="C3" s="360"/>
      <c r="D3" s="360"/>
      <c r="E3" s="360"/>
      <c r="F3" s="360"/>
      <c r="G3" s="360"/>
      <c r="H3" s="360"/>
    </row>
    <row r="4" spans="1:8" ht="14.25" customHeight="1">
      <c r="A4" s="359" t="s">
        <v>656</v>
      </c>
      <c r="B4" s="360"/>
      <c r="C4" s="360"/>
      <c r="D4" s="360"/>
      <c r="E4" s="360"/>
      <c r="F4" s="360"/>
      <c r="G4" s="360"/>
      <c r="H4" s="360"/>
    </row>
    <row r="5" spans="1:8" ht="14.25" customHeight="1">
      <c r="A5" s="92" t="s">
        <v>127</v>
      </c>
      <c r="B5" s="293">
        <v>40</v>
      </c>
      <c r="C5" s="92" t="s">
        <v>657</v>
      </c>
      <c r="D5" s="92"/>
      <c r="E5" s="92"/>
      <c r="F5" s="92"/>
      <c r="G5" s="92"/>
      <c r="H5" s="92"/>
    </row>
    <row r="6" spans="1:8" ht="14.25" customHeight="1">
      <c r="A6" s="92" t="s">
        <v>619</v>
      </c>
      <c r="B6" s="160">
        <v>8</v>
      </c>
      <c r="C6" s="92"/>
      <c r="D6" s="92"/>
      <c r="E6" s="92"/>
      <c r="F6" s="92"/>
      <c r="G6" s="92"/>
      <c r="H6" s="92"/>
    </row>
    <row r="7" spans="1:8" ht="14.25" customHeight="1">
      <c r="A7" s="92"/>
      <c r="B7" s="160"/>
      <c r="C7" s="92"/>
      <c r="D7" s="92"/>
      <c r="E7" s="92"/>
      <c r="F7" s="92"/>
      <c r="G7" s="92"/>
      <c r="H7" s="92"/>
    </row>
    <row r="8" spans="1:8" ht="14.25" customHeight="1">
      <c r="A8" s="92"/>
      <c r="B8" s="160"/>
      <c r="C8" s="92"/>
      <c r="D8" s="92"/>
      <c r="E8" s="92"/>
      <c r="F8" s="92"/>
      <c r="G8" s="92"/>
      <c r="H8" s="92"/>
    </row>
    <row r="9" spans="1:8" ht="14.25" customHeight="1">
      <c r="A9" s="92"/>
      <c r="B9" s="92"/>
      <c r="C9" s="92"/>
      <c r="D9" s="92"/>
      <c r="E9" s="92"/>
      <c r="F9" s="92"/>
      <c r="G9" s="92"/>
      <c r="H9" s="92"/>
    </row>
    <row r="10" spans="1:8" ht="14.25" customHeight="1">
      <c r="A10" s="92"/>
      <c r="B10" s="307"/>
      <c r="C10" s="92"/>
      <c r="D10" s="92"/>
      <c r="E10" s="92"/>
      <c r="F10" s="92"/>
      <c r="G10" s="92"/>
      <c r="H10" s="92"/>
    </row>
    <row r="11" spans="1:8" ht="14.25" customHeight="1">
      <c r="A11" s="168" t="s">
        <v>201</v>
      </c>
      <c r="B11" s="169" t="s">
        <v>204</v>
      </c>
      <c r="C11" s="169" t="s">
        <v>205</v>
      </c>
      <c r="D11" s="169" t="s">
        <v>206</v>
      </c>
      <c r="E11" s="169" t="s">
        <v>207</v>
      </c>
      <c r="F11" s="169" t="s">
        <v>208</v>
      </c>
      <c r="G11" s="169" t="s">
        <v>209</v>
      </c>
      <c r="H11" s="169" t="s">
        <v>210</v>
      </c>
    </row>
    <row r="12" spans="1:8" ht="14.25" customHeight="1">
      <c r="A12" s="56" t="s">
        <v>658</v>
      </c>
      <c r="B12" s="308">
        <f t="shared" ref="B12:H12" si="0">B32/($B$5*$B$6)</f>
        <v>138.509596875</v>
      </c>
      <c r="C12" s="308">
        <f t="shared" si="0"/>
        <v>153.16899406250002</v>
      </c>
      <c r="D12" s="308">
        <f t="shared" si="0"/>
        <v>167.82839125000001</v>
      </c>
      <c r="E12" s="308">
        <f t="shared" si="0"/>
        <v>182.48778843750006</v>
      </c>
      <c r="F12" s="308">
        <f t="shared" si="0"/>
        <v>197.14718562500005</v>
      </c>
      <c r="G12" s="308">
        <f t="shared" si="0"/>
        <v>211.80658281250007</v>
      </c>
      <c r="H12" s="308">
        <f t="shared" si="0"/>
        <v>226.46598000000009</v>
      </c>
    </row>
    <row r="13" spans="1:8" ht="14.25" hidden="1" customHeight="1">
      <c r="A13" s="56" t="str">
        <f>'10.Grain Production details'!A67</f>
        <v>Soybean</v>
      </c>
      <c r="B13" s="56">
        <f>'10.Grain Production details'!B67</f>
        <v>0</v>
      </c>
      <c r="C13" s="56">
        <f>'10.Grain Production details'!C67</f>
        <v>0</v>
      </c>
      <c r="D13" s="56">
        <f>'10.Grain Production details'!D67</f>
        <v>0</v>
      </c>
      <c r="E13" s="56">
        <f>'10.Grain Production details'!E67</f>
        <v>0</v>
      </c>
      <c r="F13" s="56">
        <f>'10.Grain Production details'!F67</f>
        <v>0</v>
      </c>
      <c r="G13" s="56">
        <f>'10.Grain Production details'!G67</f>
        <v>0</v>
      </c>
      <c r="H13" s="56">
        <f>'10.Grain Production details'!H67</f>
        <v>0</v>
      </c>
    </row>
    <row r="14" spans="1:8" ht="14.25" hidden="1" customHeight="1">
      <c r="A14" s="56" t="str">
        <f>'10.Grain Production details'!A68</f>
        <v>Red Gram/Tur</v>
      </c>
      <c r="B14" s="56">
        <f>'10.Grain Production details'!B68</f>
        <v>0</v>
      </c>
      <c r="C14" s="56">
        <f>'10.Grain Production details'!C68</f>
        <v>0</v>
      </c>
      <c r="D14" s="56">
        <f>'10.Grain Production details'!D68</f>
        <v>0</v>
      </c>
      <c r="E14" s="56">
        <f>'10.Grain Production details'!E68</f>
        <v>0</v>
      </c>
      <c r="F14" s="56">
        <f>'10.Grain Production details'!F68</f>
        <v>0</v>
      </c>
      <c r="G14" s="56">
        <f>'10.Grain Production details'!G68</f>
        <v>0</v>
      </c>
      <c r="H14" s="56">
        <f>'10.Grain Production details'!H68</f>
        <v>0</v>
      </c>
    </row>
    <row r="15" spans="1:8" ht="14.25" hidden="1" customHeight="1">
      <c r="A15" s="56" t="str">
        <f>'10.Grain Production details'!A69</f>
        <v>Paddy/Rice</v>
      </c>
      <c r="B15" s="56">
        <f>'10.Grain Production details'!B69</f>
        <v>0</v>
      </c>
      <c r="C15" s="56">
        <f>'10.Grain Production details'!C69</f>
        <v>0</v>
      </c>
      <c r="D15" s="56">
        <f>'10.Grain Production details'!D69</f>
        <v>0</v>
      </c>
      <c r="E15" s="56">
        <f>'10.Grain Production details'!E69</f>
        <v>0</v>
      </c>
      <c r="F15" s="56">
        <f>'10.Grain Production details'!F69</f>
        <v>0</v>
      </c>
      <c r="G15" s="56">
        <f>'10.Grain Production details'!G69</f>
        <v>0</v>
      </c>
      <c r="H15" s="56">
        <f>'10.Grain Production details'!H69</f>
        <v>0</v>
      </c>
    </row>
    <row r="16" spans="1:8" ht="14.25" hidden="1" customHeight="1">
      <c r="A16" s="56" t="str">
        <f>'10.Grain Production details'!A70</f>
        <v>Green Gram/ Moong</v>
      </c>
      <c r="B16" s="56">
        <f>'10.Grain Production details'!B70</f>
        <v>0</v>
      </c>
      <c r="C16" s="56">
        <f>'10.Grain Production details'!C70</f>
        <v>0</v>
      </c>
      <c r="D16" s="56">
        <f>'10.Grain Production details'!D70</f>
        <v>0</v>
      </c>
      <c r="E16" s="56">
        <f>'10.Grain Production details'!E70</f>
        <v>0</v>
      </c>
      <c r="F16" s="56">
        <f>'10.Grain Production details'!F70</f>
        <v>0</v>
      </c>
      <c r="G16" s="56">
        <f>'10.Grain Production details'!G70</f>
        <v>0</v>
      </c>
      <c r="H16" s="56">
        <f>'10.Grain Production details'!H70</f>
        <v>0</v>
      </c>
    </row>
    <row r="17" spans="1:8" ht="14.25" hidden="1" customHeight="1">
      <c r="A17" s="56" t="str">
        <f>'10.Grain Production details'!A71</f>
        <v>Maize</v>
      </c>
      <c r="B17" s="56">
        <f>'10.Grain Production details'!B71</f>
        <v>0</v>
      </c>
      <c r="C17" s="56">
        <f>'10.Grain Production details'!C71</f>
        <v>0</v>
      </c>
      <c r="D17" s="56">
        <f>'10.Grain Production details'!D71</f>
        <v>0</v>
      </c>
      <c r="E17" s="56">
        <f>'10.Grain Production details'!E71</f>
        <v>0</v>
      </c>
      <c r="F17" s="56">
        <f>'10.Grain Production details'!F71</f>
        <v>0</v>
      </c>
      <c r="G17" s="56">
        <f>'10.Grain Production details'!G71</f>
        <v>0</v>
      </c>
      <c r="H17" s="56">
        <f>'10.Grain Production details'!H71</f>
        <v>0</v>
      </c>
    </row>
    <row r="18" spans="1:8" ht="14.25" hidden="1" customHeight="1">
      <c r="A18" s="56" t="str">
        <f>'10.Grain Production details'!A72</f>
        <v>Black Gram/Udid</v>
      </c>
      <c r="B18" s="56">
        <f>'10.Grain Production details'!B72</f>
        <v>0</v>
      </c>
      <c r="C18" s="56">
        <f>'10.Grain Production details'!C72</f>
        <v>0</v>
      </c>
      <c r="D18" s="56">
        <f>'10.Grain Production details'!D72</f>
        <v>0</v>
      </c>
      <c r="E18" s="56">
        <f>'10.Grain Production details'!E72</f>
        <v>0</v>
      </c>
      <c r="F18" s="56">
        <f>'10.Grain Production details'!F72</f>
        <v>0</v>
      </c>
      <c r="G18" s="56">
        <f>'10.Grain Production details'!G72</f>
        <v>0</v>
      </c>
      <c r="H18" s="56">
        <f>'10.Grain Production details'!H72</f>
        <v>0</v>
      </c>
    </row>
    <row r="19" spans="1:8" ht="14.25" hidden="1" customHeight="1">
      <c r="A19" s="56" t="str">
        <f>'10.Grain Production details'!A73</f>
        <v>Bajra</v>
      </c>
      <c r="B19" s="56">
        <f>'10.Grain Production details'!B73</f>
        <v>0</v>
      </c>
      <c r="C19" s="56">
        <f>'10.Grain Production details'!C73</f>
        <v>0</v>
      </c>
      <c r="D19" s="56">
        <f>'10.Grain Production details'!D73</f>
        <v>0</v>
      </c>
      <c r="E19" s="56">
        <f>'10.Grain Production details'!E73</f>
        <v>0</v>
      </c>
      <c r="F19" s="56">
        <f>'10.Grain Production details'!F73</f>
        <v>0</v>
      </c>
      <c r="G19" s="56">
        <f>'10.Grain Production details'!G73</f>
        <v>0</v>
      </c>
      <c r="H19" s="56">
        <f>'10.Grain Production details'!H73</f>
        <v>0</v>
      </c>
    </row>
    <row r="20" spans="1:8" ht="14.25" hidden="1" customHeight="1">
      <c r="A20" s="56" t="str">
        <f>'10.Grain Production details'!A74</f>
        <v>Jawar</v>
      </c>
      <c r="B20" s="56">
        <f>'10.Grain Production details'!B74</f>
        <v>3880.5</v>
      </c>
      <c r="C20" s="56">
        <f>'10.Grain Production details'!C74</f>
        <v>4527.25</v>
      </c>
      <c r="D20" s="56">
        <f>'10.Grain Production details'!D74</f>
        <v>5174</v>
      </c>
      <c r="E20" s="56">
        <f>'10.Grain Production details'!E74</f>
        <v>5820.75</v>
      </c>
      <c r="F20" s="56">
        <f>'10.Grain Production details'!F74</f>
        <v>6467.5</v>
      </c>
      <c r="G20" s="56">
        <f>'10.Grain Production details'!G74</f>
        <v>7114.25</v>
      </c>
      <c r="H20" s="56">
        <f>'10.Grain Production details'!H74</f>
        <v>7761.0000000000009</v>
      </c>
    </row>
    <row r="21" spans="1:8" ht="14.25" hidden="1" customHeight="1">
      <c r="A21" s="56" t="str">
        <f>'10.Grain Production details'!A75</f>
        <v>Sunflower</v>
      </c>
      <c r="B21" s="56">
        <f>'10.Grain Production details'!B75</f>
        <v>0</v>
      </c>
      <c r="C21" s="56">
        <f>'10.Grain Production details'!C75</f>
        <v>0</v>
      </c>
      <c r="D21" s="56">
        <f>'10.Grain Production details'!D75</f>
        <v>0</v>
      </c>
      <c r="E21" s="56">
        <f>'10.Grain Production details'!E75</f>
        <v>0</v>
      </c>
      <c r="F21" s="56">
        <f>'10.Grain Production details'!F75</f>
        <v>0</v>
      </c>
      <c r="G21" s="56">
        <f>'10.Grain Production details'!G75</f>
        <v>0</v>
      </c>
      <c r="H21" s="56">
        <f>'10.Grain Production details'!H75</f>
        <v>0</v>
      </c>
    </row>
    <row r="22" spans="1:8" ht="14.25" customHeight="1">
      <c r="A22" s="56" t="str">
        <f>'10.Grain Production details'!A42</f>
        <v>Soybean</v>
      </c>
      <c r="B22" s="56">
        <f>'10.Grain Production details'!B42</f>
        <v>13568.815000000001</v>
      </c>
      <c r="C22" s="56">
        <f>'10.Grain Production details'!C42</f>
        <v>14925.696500000002</v>
      </c>
      <c r="D22" s="56">
        <f>'10.Grain Production details'!D42</f>
        <v>16282.578000000003</v>
      </c>
      <c r="E22" s="56">
        <f>'10.Grain Production details'!E42</f>
        <v>17639.459500000004</v>
      </c>
      <c r="F22" s="56">
        <f>'10.Grain Production details'!F42</f>
        <v>18996.341000000004</v>
      </c>
      <c r="G22" s="56">
        <f>'10.Grain Production details'!G42</f>
        <v>20353.222500000003</v>
      </c>
      <c r="H22" s="56">
        <f>'10.Grain Production details'!H42</f>
        <v>21710.104000000007</v>
      </c>
    </row>
    <row r="23" spans="1:8" ht="14.25" customHeight="1">
      <c r="A23" s="56" t="str">
        <f>'10.Grain Production details'!A43</f>
        <v>Red Gram/Tur</v>
      </c>
      <c r="B23" s="56">
        <f>'10.Grain Production details'!B43</f>
        <v>8873.41</v>
      </c>
      <c r="C23" s="56">
        <f>'10.Grain Production details'!C43</f>
        <v>9760.7510000000002</v>
      </c>
      <c r="D23" s="56">
        <f>'10.Grain Production details'!D43</f>
        <v>10648.092000000001</v>
      </c>
      <c r="E23" s="56">
        <f>'10.Grain Production details'!E43</f>
        <v>11535.433000000003</v>
      </c>
      <c r="F23" s="56">
        <f>'10.Grain Production details'!F43</f>
        <v>12422.774000000003</v>
      </c>
      <c r="G23" s="56">
        <f>'10.Grain Production details'!G43</f>
        <v>13310.115000000003</v>
      </c>
      <c r="H23" s="56">
        <f>'10.Grain Production details'!H43</f>
        <v>14197.456000000004</v>
      </c>
    </row>
    <row r="24" spans="1:8" ht="14.25" hidden="1" customHeight="1">
      <c r="A24" s="56" t="str">
        <f>'10.Grain Production details'!A44</f>
        <v>Paddy/Rice</v>
      </c>
      <c r="B24" s="56">
        <f>'10.Grain Production details'!B44</f>
        <v>0</v>
      </c>
      <c r="C24" s="56">
        <f>'10.Grain Production details'!C44</f>
        <v>0</v>
      </c>
      <c r="D24" s="56">
        <f>'10.Grain Production details'!D44</f>
        <v>0</v>
      </c>
      <c r="E24" s="56">
        <f>'10.Grain Production details'!E44</f>
        <v>0</v>
      </c>
      <c r="F24" s="56">
        <f>'10.Grain Production details'!F44</f>
        <v>0</v>
      </c>
      <c r="G24" s="56">
        <f>'10.Grain Production details'!G44</f>
        <v>0</v>
      </c>
      <c r="H24" s="56">
        <f>'10.Grain Production details'!H44</f>
        <v>0</v>
      </c>
    </row>
    <row r="25" spans="1:8" ht="14.25" customHeight="1">
      <c r="A25" s="56" t="str">
        <f>'10.Grain Production details'!A45</f>
        <v>Green Gram/ Moong</v>
      </c>
      <c r="B25" s="56">
        <f>'10.Grain Production details'!B45</f>
        <v>4436.7049999999999</v>
      </c>
      <c r="C25" s="56">
        <f>'10.Grain Production details'!C45</f>
        <v>4880.3755000000001</v>
      </c>
      <c r="D25" s="56">
        <f>'10.Grain Production details'!D45</f>
        <v>5324.0460000000003</v>
      </c>
      <c r="E25" s="56">
        <f>'10.Grain Production details'!E45</f>
        <v>5767.7165000000014</v>
      </c>
      <c r="F25" s="56">
        <f>'10.Grain Production details'!F45</f>
        <v>6211.3870000000015</v>
      </c>
      <c r="G25" s="56">
        <f>'10.Grain Production details'!G45</f>
        <v>6655.0575000000017</v>
      </c>
      <c r="H25" s="56">
        <f>'10.Grain Production details'!H45</f>
        <v>7098.7280000000019</v>
      </c>
    </row>
    <row r="26" spans="1:8" ht="14.25" hidden="1" customHeight="1">
      <c r="A26" s="56" t="str">
        <f>'10.Grain Production details'!A46</f>
        <v>Maize</v>
      </c>
      <c r="B26" s="56">
        <f>'10.Grain Production details'!B46</f>
        <v>0</v>
      </c>
      <c r="C26" s="56">
        <f>'10.Grain Production details'!C46</f>
        <v>0</v>
      </c>
      <c r="D26" s="56">
        <f>'10.Grain Production details'!D46</f>
        <v>0</v>
      </c>
      <c r="E26" s="56">
        <f>'10.Grain Production details'!E46</f>
        <v>0</v>
      </c>
      <c r="F26" s="56">
        <f>'10.Grain Production details'!F46</f>
        <v>0</v>
      </c>
      <c r="G26" s="56">
        <f>'10.Grain Production details'!G46</f>
        <v>0</v>
      </c>
      <c r="H26" s="56">
        <f>'10.Grain Production details'!H46</f>
        <v>0</v>
      </c>
    </row>
    <row r="27" spans="1:8" ht="14.25" customHeight="1">
      <c r="A27" s="56" t="str">
        <f>'10.Grain Production details'!A47</f>
        <v>Black Gram/Udid</v>
      </c>
      <c r="B27" s="56">
        <f>'10.Grain Production details'!B47</f>
        <v>4436.7049999999999</v>
      </c>
      <c r="C27" s="56">
        <f>'10.Grain Production details'!C47</f>
        <v>4880.3755000000001</v>
      </c>
      <c r="D27" s="56">
        <f>'10.Grain Production details'!D47</f>
        <v>5324.0460000000003</v>
      </c>
      <c r="E27" s="56">
        <f>'10.Grain Production details'!E47</f>
        <v>5767.7165000000014</v>
      </c>
      <c r="F27" s="56">
        <f>'10.Grain Production details'!F47</f>
        <v>6211.3870000000015</v>
      </c>
      <c r="G27" s="56">
        <f>'10.Grain Production details'!G47</f>
        <v>6655.0575000000017</v>
      </c>
      <c r="H27" s="56">
        <f>'10.Grain Production details'!H47</f>
        <v>7098.7280000000019</v>
      </c>
    </row>
    <row r="28" spans="1:8" ht="14.25" hidden="1" customHeight="1">
      <c r="A28" s="56" t="str">
        <f>'10.Grain Production details'!A51</f>
        <v>Wheat</v>
      </c>
      <c r="B28" s="56">
        <f>'10.Grain Production details'!B51</f>
        <v>0</v>
      </c>
      <c r="C28" s="56">
        <f>'10.Grain Production details'!C51</f>
        <v>0</v>
      </c>
      <c r="D28" s="56">
        <f>'10.Grain Production details'!D51</f>
        <v>0</v>
      </c>
      <c r="E28" s="56">
        <f>'10.Grain Production details'!E51</f>
        <v>0</v>
      </c>
      <c r="F28" s="56">
        <f>'10.Grain Production details'!F51</f>
        <v>0</v>
      </c>
      <c r="G28" s="56">
        <f>'10.Grain Production details'!G51</f>
        <v>0</v>
      </c>
      <c r="H28" s="56">
        <f>'10.Grain Production details'!H51</f>
        <v>0</v>
      </c>
    </row>
    <row r="29" spans="1:8" ht="14.25" customHeight="1">
      <c r="A29" s="56" t="str">
        <f>'10.Grain Production details'!A52</f>
        <v>Bengal Gram/Channa</v>
      </c>
      <c r="B29" s="56">
        <f>'10.Grain Production details'!B52</f>
        <v>9126.9359999999997</v>
      </c>
      <c r="C29" s="56">
        <f>'10.Grain Production details'!C52</f>
        <v>10039.6296</v>
      </c>
      <c r="D29" s="56">
        <f>'10.Grain Production details'!D52</f>
        <v>10952.323200000001</v>
      </c>
      <c r="E29" s="56">
        <f>'10.Grain Production details'!E52</f>
        <v>11865.016800000001</v>
      </c>
      <c r="F29" s="56">
        <f>'10.Grain Production details'!F52</f>
        <v>12777.710400000004</v>
      </c>
      <c r="G29" s="56">
        <f>'10.Grain Production details'!G52</f>
        <v>13690.404000000004</v>
      </c>
      <c r="H29" s="56">
        <f>'10.Grain Production details'!H52</f>
        <v>14603.097600000005</v>
      </c>
    </row>
    <row r="30" spans="1:8" ht="14.25" hidden="1" customHeight="1">
      <c r="A30" s="56" t="str">
        <f>'10.Grain Production details'!A84</f>
        <v>Groundnut</v>
      </c>
      <c r="B30" s="56">
        <f>'10.Grain Production details'!B84</f>
        <v>0</v>
      </c>
      <c r="C30" s="56">
        <f>'10.Grain Production details'!C84</f>
        <v>0</v>
      </c>
      <c r="D30" s="56">
        <f>'10.Grain Production details'!D84</f>
        <v>0</v>
      </c>
      <c r="E30" s="56">
        <f>'10.Grain Production details'!E84</f>
        <v>0</v>
      </c>
      <c r="F30" s="56">
        <f>'10.Grain Production details'!F84</f>
        <v>0</v>
      </c>
      <c r="G30" s="56">
        <f>'10.Grain Production details'!G84</f>
        <v>0</v>
      </c>
      <c r="H30" s="56">
        <f>'10.Grain Production details'!H84</f>
        <v>0</v>
      </c>
    </row>
    <row r="31" spans="1:8" ht="14.25" hidden="1" customHeight="1">
      <c r="A31" s="56">
        <f>'10.Grain Production details'!A85</f>
        <v>0</v>
      </c>
      <c r="B31" s="56">
        <f>'10.Grain Production details'!B85</f>
        <v>0</v>
      </c>
      <c r="C31" s="56">
        <f>'10.Grain Production details'!C85</f>
        <v>0</v>
      </c>
      <c r="D31" s="56">
        <f>'10.Grain Production details'!D85</f>
        <v>0</v>
      </c>
      <c r="E31" s="56">
        <f>'10.Grain Production details'!E85</f>
        <v>0</v>
      </c>
      <c r="F31" s="56">
        <f>'10.Grain Production details'!F85</f>
        <v>0</v>
      </c>
      <c r="G31" s="56">
        <f>'10.Grain Production details'!G85</f>
        <v>0</v>
      </c>
      <c r="H31" s="56">
        <f>'10.Grain Production details'!H85</f>
        <v>0</v>
      </c>
    </row>
    <row r="32" spans="1:8" ht="14.25" customHeight="1">
      <c r="A32" s="56" t="s">
        <v>659</v>
      </c>
      <c r="B32" s="97">
        <f t="shared" ref="B32:H32" si="1">SUM(B13:B31)</f>
        <v>44323.071000000004</v>
      </c>
      <c r="C32" s="97">
        <f t="shared" si="1"/>
        <v>49014.078100000006</v>
      </c>
      <c r="D32" s="97">
        <f t="shared" si="1"/>
        <v>53705.085200000001</v>
      </c>
      <c r="E32" s="97">
        <f t="shared" si="1"/>
        <v>58396.092300000018</v>
      </c>
      <c r="F32" s="97">
        <f t="shared" si="1"/>
        <v>63087.099400000014</v>
      </c>
      <c r="G32" s="97">
        <f t="shared" si="1"/>
        <v>67778.106500000024</v>
      </c>
      <c r="H32" s="97">
        <f t="shared" si="1"/>
        <v>72469.113600000026</v>
      </c>
    </row>
    <row r="33" spans="1:8" ht="14.25" customHeight="1">
      <c r="A33" s="309" t="s">
        <v>627</v>
      </c>
      <c r="B33" s="178">
        <v>0.9</v>
      </c>
      <c r="C33" s="178">
        <f t="shared" ref="C33:H33" si="2">B33</f>
        <v>0.9</v>
      </c>
      <c r="D33" s="178">
        <f t="shared" si="2"/>
        <v>0.9</v>
      </c>
      <c r="E33" s="178">
        <f t="shared" si="2"/>
        <v>0.9</v>
      </c>
      <c r="F33" s="178">
        <f t="shared" si="2"/>
        <v>0.9</v>
      </c>
      <c r="G33" s="178">
        <f t="shared" si="2"/>
        <v>0.9</v>
      </c>
      <c r="H33" s="178">
        <f t="shared" si="2"/>
        <v>0.9</v>
      </c>
    </row>
    <row r="34" spans="1:8" ht="14.25" customHeight="1">
      <c r="A34" s="56" t="s">
        <v>660</v>
      </c>
      <c r="B34" s="171">
        <f t="shared" ref="B34:H34" si="3">1-B33</f>
        <v>9.9999999999999978E-2</v>
      </c>
      <c r="C34" s="171">
        <f t="shared" si="3"/>
        <v>9.9999999999999978E-2</v>
      </c>
      <c r="D34" s="171">
        <f t="shared" si="3"/>
        <v>9.9999999999999978E-2</v>
      </c>
      <c r="E34" s="171">
        <f t="shared" si="3"/>
        <v>9.9999999999999978E-2</v>
      </c>
      <c r="F34" s="171">
        <f t="shared" si="3"/>
        <v>9.9999999999999978E-2</v>
      </c>
      <c r="G34" s="171">
        <f t="shared" si="3"/>
        <v>9.9999999999999978E-2</v>
      </c>
      <c r="H34" s="171">
        <f t="shared" si="3"/>
        <v>9.9999999999999978E-2</v>
      </c>
    </row>
    <row r="35" spans="1:8" ht="14.25" customHeight="1">
      <c r="A35" s="98" t="s">
        <v>627</v>
      </c>
      <c r="B35" s="310">
        <f t="shared" ref="B35:H35" si="4">B32*B33</f>
        <v>39890.763900000005</v>
      </c>
      <c r="C35" s="310">
        <f t="shared" si="4"/>
        <v>44112.670290000009</v>
      </c>
      <c r="D35" s="310">
        <f t="shared" si="4"/>
        <v>48334.576680000006</v>
      </c>
      <c r="E35" s="310">
        <f t="shared" si="4"/>
        <v>52556.483070000017</v>
      </c>
      <c r="F35" s="310">
        <f t="shared" si="4"/>
        <v>56778.389460000013</v>
      </c>
      <c r="G35" s="310">
        <f t="shared" si="4"/>
        <v>61000.295850000024</v>
      </c>
      <c r="H35" s="310">
        <f t="shared" si="4"/>
        <v>65222.202240000028</v>
      </c>
    </row>
    <row r="36" spans="1:8" ht="14.25" customHeight="1">
      <c r="A36" s="98" t="s">
        <v>628</v>
      </c>
      <c r="B36" s="99"/>
      <c r="C36" s="99"/>
      <c r="D36" s="99"/>
      <c r="E36" s="99"/>
      <c r="F36" s="99"/>
      <c r="G36" s="99"/>
      <c r="H36" s="99"/>
    </row>
    <row r="37" spans="1:8" ht="14.25" hidden="1" customHeight="1">
      <c r="A37" s="56" t="str">
        <f t="shared" ref="A37:A55" si="5">A13</f>
        <v>Soybean</v>
      </c>
      <c r="B37" s="97">
        <f t="shared" ref="B37:H37" si="6">B13*$B$34</f>
        <v>0</v>
      </c>
      <c r="C37" s="97">
        <f t="shared" si="6"/>
        <v>0</v>
      </c>
      <c r="D37" s="97">
        <f t="shared" si="6"/>
        <v>0</v>
      </c>
      <c r="E37" s="97">
        <f t="shared" si="6"/>
        <v>0</v>
      </c>
      <c r="F37" s="97">
        <f t="shared" si="6"/>
        <v>0</v>
      </c>
      <c r="G37" s="97">
        <f t="shared" si="6"/>
        <v>0</v>
      </c>
      <c r="H37" s="97">
        <f t="shared" si="6"/>
        <v>0</v>
      </c>
    </row>
    <row r="38" spans="1:8" ht="14.25" hidden="1" customHeight="1">
      <c r="A38" s="56" t="str">
        <f t="shared" si="5"/>
        <v>Red Gram/Tur</v>
      </c>
      <c r="B38" s="97">
        <f t="shared" ref="B38:B55" si="7">B14*$B$34</f>
        <v>0</v>
      </c>
      <c r="C38" s="97">
        <f t="shared" ref="C38:C55" si="8">C14*$C$34</f>
        <v>0</v>
      </c>
      <c r="D38" s="97">
        <f t="shared" ref="D38:D55" si="9">D14*$D$34</f>
        <v>0</v>
      </c>
      <c r="E38" s="97">
        <f t="shared" ref="E38:E55" si="10">E14*$E$34</f>
        <v>0</v>
      </c>
      <c r="F38" s="97">
        <f t="shared" ref="F38:F55" si="11">F14*$F$34</f>
        <v>0</v>
      </c>
      <c r="G38" s="97">
        <f t="shared" ref="G38:G55" si="12">G14*$G$34</f>
        <v>0</v>
      </c>
      <c r="H38" s="97">
        <f t="shared" ref="H38:H55" si="13">H14*$H$34</f>
        <v>0</v>
      </c>
    </row>
    <row r="39" spans="1:8" ht="14.25" hidden="1" customHeight="1">
      <c r="A39" s="56" t="str">
        <f t="shared" si="5"/>
        <v>Paddy/Rice</v>
      </c>
      <c r="B39" s="97">
        <f t="shared" si="7"/>
        <v>0</v>
      </c>
      <c r="C39" s="97">
        <f t="shared" si="8"/>
        <v>0</v>
      </c>
      <c r="D39" s="97">
        <f t="shared" si="9"/>
        <v>0</v>
      </c>
      <c r="E39" s="97">
        <f t="shared" si="10"/>
        <v>0</v>
      </c>
      <c r="F39" s="97">
        <f t="shared" si="11"/>
        <v>0</v>
      </c>
      <c r="G39" s="97">
        <f t="shared" si="12"/>
        <v>0</v>
      </c>
      <c r="H39" s="97">
        <f t="shared" si="13"/>
        <v>0</v>
      </c>
    </row>
    <row r="40" spans="1:8" ht="14.25" hidden="1" customHeight="1">
      <c r="A40" s="56" t="str">
        <f t="shared" si="5"/>
        <v>Green Gram/ Moong</v>
      </c>
      <c r="B40" s="97">
        <f t="shared" si="7"/>
        <v>0</v>
      </c>
      <c r="C40" s="97">
        <f t="shared" si="8"/>
        <v>0</v>
      </c>
      <c r="D40" s="97">
        <f t="shared" si="9"/>
        <v>0</v>
      </c>
      <c r="E40" s="97">
        <f t="shared" si="10"/>
        <v>0</v>
      </c>
      <c r="F40" s="97">
        <f t="shared" si="11"/>
        <v>0</v>
      </c>
      <c r="G40" s="97">
        <f t="shared" si="12"/>
        <v>0</v>
      </c>
      <c r="H40" s="97">
        <f t="shared" si="13"/>
        <v>0</v>
      </c>
    </row>
    <row r="41" spans="1:8" ht="14.25" hidden="1" customHeight="1">
      <c r="A41" s="56" t="str">
        <f t="shared" si="5"/>
        <v>Maize</v>
      </c>
      <c r="B41" s="97">
        <f t="shared" si="7"/>
        <v>0</v>
      </c>
      <c r="C41" s="97">
        <f t="shared" si="8"/>
        <v>0</v>
      </c>
      <c r="D41" s="97">
        <f t="shared" si="9"/>
        <v>0</v>
      </c>
      <c r="E41" s="97">
        <f t="shared" si="10"/>
        <v>0</v>
      </c>
      <c r="F41" s="97">
        <f t="shared" si="11"/>
        <v>0</v>
      </c>
      <c r="G41" s="97">
        <f t="shared" si="12"/>
        <v>0</v>
      </c>
      <c r="H41" s="97">
        <f t="shared" si="13"/>
        <v>0</v>
      </c>
    </row>
    <row r="42" spans="1:8" ht="14.25" hidden="1" customHeight="1">
      <c r="A42" s="56" t="str">
        <f t="shared" si="5"/>
        <v>Black Gram/Udid</v>
      </c>
      <c r="B42" s="97">
        <f t="shared" si="7"/>
        <v>0</v>
      </c>
      <c r="C42" s="97">
        <f t="shared" si="8"/>
        <v>0</v>
      </c>
      <c r="D42" s="97">
        <f t="shared" si="9"/>
        <v>0</v>
      </c>
      <c r="E42" s="97">
        <f t="shared" si="10"/>
        <v>0</v>
      </c>
      <c r="F42" s="97">
        <f t="shared" si="11"/>
        <v>0</v>
      </c>
      <c r="G42" s="97">
        <f t="shared" si="12"/>
        <v>0</v>
      </c>
      <c r="H42" s="97">
        <f t="shared" si="13"/>
        <v>0</v>
      </c>
    </row>
    <row r="43" spans="1:8" ht="14.25" hidden="1" customHeight="1">
      <c r="A43" s="56" t="str">
        <f t="shared" si="5"/>
        <v>Bajra</v>
      </c>
      <c r="B43" s="97">
        <f t="shared" si="7"/>
        <v>0</v>
      </c>
      <c r="C43" s="97">
        <f t="shared" si="8"/>
        <v>0</v>
      </c>
      <c r="D43" s="97">
        <f t="shared" si="9"/>
        <v>0</v>
      </c>
      <c r="E43" s="97">
        <f t="shared" si="10"/>
        <v>0</v>
      </c>
      <c r="F43" s="97">
        <f t="shared" si="11"/>
        <v>0</v>
      </c>
      <c r="G43" s="97">
        <f t="shared" si="12"/>
        <v>0</v>
      </c>
      <c r="H43" s="97">
        <f t="shared" si="13"/>
        <v>0</v>
      </c>
    </row>
    <row r="44" spans="1:8" ht="14.25" hidden="1" customHeight="1">
      <c r="A44" s="56" t="str">
        <f t="shared" si="5"/>
        <v>Jawar</v>
      </c>
      <c r="B44" s="97">
        <f t="shared" si="7"/>
        <v>388.0499999999999</v>
      </c>
      <c r="C44" s="97">
        <f t="shared" si="8"/>
        <v>452.72499999999991</v>
      </c>
      <c r="D44" s="97">
        <f t="shared" si="9"/>
        <v>517.39999999999986</v>
      </c>
      <c r="E44" s="97">
        <f t="shared" si="10"/>
        <v>582.07499999999982</v>
      </c>
      <c r="F44" s="97">
        <f t="shared" si="11"/>
        <v>646.74999999999989</v>
      </c>
      <c r="G44" s="97">
        <f t="shared" si="12"/>
        <v>711.42499999999984</v>
      </c>
      <c r="H44" s="97">
        <f t="shared" si="13"/>
        <v>776.09999999999991</v>
      </c>
    </row>
    <row r="45" spans="1:8" ht="14.25" hidden="1" customHeight="1">
      <c r="A45" s="56" t="str">
        <f t="shared" si="5"/>
        <v>Sunflower</v>
      </c>
      <c r="B45" s="97">
        <f t="shared" si="7"/>
        <v>0</v>
      </c>
      <c r="C45" s="97">
        <f t="shared" si="8"/>
        <v>0</v>
      </c>
      <c r="D45" s="97">
        <f t="shared" si="9"/>
        <v>0</v>
      </c>
      <c r="E45" s="97">
        <f t="shared" si="10"/>
        <v>0</v>
      </c>
      <c r="F45" s="97">
        <f t="shared" si="11"/>
        <v>0</v>
      </c>
      <c r="G45" s="97">
        <f t="shared" si="12"/>
        <v>0</v>
      </c>
      <c r="H45" s="97">
        <f t="shared" si="13"/>
        <v>0</v>
      </c>
    </row>
    <row r="46" spans="1:8" ht="14.25" customHeight="1">
      <c r="A46" s="56" t="str">
        <f t="shared" si="5"/>
        <v>Soybean</v>
      </c>
      <c r="B46" s="97">
        <f t="shared" si="7"/>
        <v>1356.8814999999997</v>
      </c>
      <c r="C46" s="97">
        <f t="shared" si="8"/>
        <v>1492.5696499999999</v>
      </c>
      <c r="D46" s="97">
        <f t="shared" si="9"/>
        <v>1628.2577999999999</v>
      </c>
      <c r="E46" s="97">
        <f t="shared" si="10"/>
        <v>1763.94595</v>
      </c>
      <c r="F46" s="97">
        <f t="shared" si="11"/>
        <v>1899.6341</v>
      </c>
      <c r="G46" s="97">
        <f t="shared" si="12"/>
        <v>2035.3222499999999</v>
      </c>
      <c r="H46" s="97">
        <f t="shared" si="13"/>
        <v>2171.0104000000001</v>
      </c>
    </row>
    <row r="47" spans="1:8" ht="14.25" customHeight="1">
      <c r="A47" s="56" t="str">
        <f t="shared" si="5"/>
        <v>Red Gram/Tur</v>
      </c>
      <c r="B47" s="97">
        <f t="shared" si="7"/>
        <v>887.34099999999978</v>
      </c>
      <c r="C47" s="97">
        <f t="shared" si="8"/>
        <v>976.07509999999979</v>
      </c>
      <c r="D47" s="97">
        <f t="shared" si="9"/>
        <v>1064.8091999999999</v>
      </c>
      <c r="E47" s="97">
        <f t="shared" si="10"/>
        <v>1153.5433</v>
      </c>
      <c r="F47" s="97">
        <f t="shared" si="11"/>
        <v>1242.2773999999999</v>
      </c>
      <c r="G47" s="97">
        <f t="shared" si="12"/>
        <v>1331.0115000000001</v>
      </c>
      <c r="H47" s="97">
        <f t="shared" si="13"/>
        <v>1419.7456</v>
      </c>
    </row>
    <row r="48" spans="1:8" ht="14.25" hidden="1" customHeight="1">
      <c r="A48" s="56" t="str">
        <f t="shared" si="5"/>
        <v>Paddy/Rice</v>
      </c>
      <c r="B48" s="97">
        <f t="shared" si="7"/>
        <v>0</v>
      </c>
      <c r="C48" s="97">
        <f t="shared" si="8"/>
        <v>0</v>
      </c>
      <c r="D48" s="97">
        <f t="shared" si="9"/>
        <v>0</v>
      </c>
      <c r="E48" s="97">
        <f t="shared" si="10"/>
        <v>0</v>
      </c>
      <c r="F48" s="97">
        <f t="shared" si="11"/>
        <v>0</v>
      </c>
      <c r="G48" s="97">
        <f t="shared" si="12"/>
        <v>0</v>
      </c>
      <c r="H48" s="97">
        <f t="shared" si="13"/>
        <v>0</v>
      </c>
    </row>
    <row r="49" spans="1:8" ht="14.25" customHeight="1">
      <c r="A49" s="56" t="str">
        <f t="shared" si="5"/>
        <v>Green Gram/ Moong</v>
      </c>
      <c r="B49" s="97">
        <f t="shared" si="7"/>
        <v>443.67049999999989</v>
      </c>
      <c r="C49" s="97">
        <f t="shared" si="8"/>
        <v>488.0375499999999</v>
      </c>
      <c r="D49" s="97">
        <f t="shared" si="9"/>
        <v>532.40459999999996</v>
      </c>
      <c r="E49" s="97">
        <f t="shared" si="10"/>
        <v>576.77165000000002</v>
      </c>
      <c r="F49" s="97">
        <f t="shared" si="11"/>
        <v>621.13869999999997</v>
      </c>
      <c r="G49" s="97">
        <f t="shared" si="12"/>
        <v>665.50575000000003</v>
      </c>
      <c r="H49" s="97">
        <f t="shared" si="13"/>
        <v>709.87279999999998</v>
      </c>
    </row>
    <row r="50" spans="1:8" ht="14.25" hidden="1" customHeight="1">
      <c r="A50" s="56" t="str">
        <f t="shared" si="5"/>
        <v>Maize</v>
      </c>
      <c r="B50" s="97">
        <f t="shared" si="7"/>
        <v>0</v>
      </c>
      <c r="C50" s="97">
        <f t="shared" si="8"/>
        <v>0</v>
      </c>
      <c r="D50" s="97">
        <f t="shared" si="9"/>
        <v>0</v>
      </c>
      <c r="E50" s="97">
        <f t="shared" si="10"/>
        <v>0</v>
      </c>
      <c r="F50" s="97">
        <f t="shared" si="11"/>
        <v>0</v>
      </c>
      <c r="G50" s="97">
        <f t="shared" si="12"/>
        <v>0</v>
      </c>
      <c r="H50" s="97">
        <f t="shared" si="13"/>
        <v>0</v>
      </c>
    </row>
    <row r="51" spans="1:8" ht="14.25" customHeight="1">
      <c r="A51" s="56" t="str">
        <f t="shared" si="5"/>
        <v>Black Gram/Udid</v>
      </c>
      <c r="B51" s="97">
        <f t="shared" si="7"/>
        <v>443.67049999999989</v>
      </c>
      <c r="C51" s="97">
        <f t="shared" si="8"/>
        <v>488.0375499999999</v>
      </c>
      <c r="D51" s="97">
        <f t="shared" si="9"/>
        <v>532.40459999999996</v>
      </c>
      <c r="E51" s="97">
        <f t="shared" si="10"/>
        <v>576.77165000000002</v>
      </c>
      <c r="F51" s="97">
        <f t="shared" si="11"/>
        <v>621.13869999999997</v>
      </c>
      <c r="G51" s="97">
        <f t="shared" si="12"/>
        <v>665.50575000000003</v>
      </c>
      <c r="H51" s="97">
        <f t="shared" si="13"/>
        <v>709.87279999999998</v>
      </c>
    </row>
    <row r="52" spans="1:8" ht="14.25" hidden="1" customHeight="1">
      <c r="A52" s="56" t="str">
        <f t="shared" si="5"/>
        <v>Wheat</v>
      </c>
      <c r="B52" s="97">
        <f t="shared" si="7"/>
        <v>0</v>
      </c>
      <c r="C52" s="97">
        <f t="shared" si="8"/>
        <v>0</v>
      </c>
      <c r="D52" s="97">
        <f t="shared" si="9"/>
        <v>0</v>
      </c>
      <c r="E52" s="97">
        <f t="shared" si="10"/>
        <v>0</v>
      </c>
      <c r="F52" s="97">
        <f t="shared" si="11"/>
        <v>0</v>
      </c>
      <c r="G52" s="97">
        <f t="shared" si="12"/>
        <v>0</v>
      </c>
      <c r="H52" s="97">
        <f t="shared" si="13"/>
        <v>0</v>
      </c>
    </row>
    <row r="53" spans="1:8" ht="14.25" customHeight="1">
      <c r="A53" s="56" t="str">
        <f t="shared" si="5"/>
        <v>Bengal Gram/Channa</v>
      </c>
      <c r="B53" s="97">
        <f t="shared" si="7"/>
        <v>912.69359999999972</v>
      </c>
      <c r="C53" s="97">
        <f t="shared" si="8"/>
        <v>1003.9629599999998</v>
      </c>
      <c r="D53" s="97">
        <f t="shared" si="9"/>
        <v>1095.2323199999998</v>
      </c>
      <c r="E53" s="97">
        <f t="shared" si="10"/>
        <v>1186.5016799999999</v>
      </c>
      <c r="F53" s="97">
        <f t="shared" si="11"/>
        <v>1277.7710400000001</v>
      </c>
      <c r="G53" s="97">
        <f t="shared" si="12"/>
        <v>1369.0404000000001</v>
      </c>
      <c r="H53" s="97">
        <f t="shared" si="13"/>
        <v>1460.3097600000001</v>
      </c>
    </row>
    <row r="54" spans="1:8" ht="14.25" hidden="1" customHeight="1">
      <c r="A54" s="56" t="str">
        <f t="shared" si="5"/>
        <v>Groundnut</v>
      </c>
      <c r="B54" s="97">
        <f t="shared" si="7"/>
        <v>0</v>
      </c>
      <c r="C54" s="97">
        <f t="shared" si="8"/>
        <v>0</v>
      </c>
      <c r="D54" s="97">
        <f t="shared" si="9"/>
        <v>0</v>
      </c>
      <c r="E54" s="97">
        <f t="shared" si="10"/>
        <v>0</v>
      </c>
      <c r="F54" s="97">
        <f t="shared" si="11"/>
        <v>0</v>
      </c>
      <c r="G54" s="97">
        <f t="shared" si="12"/>
        <v>0</v>
      </c>
      <c r="H54" s="97">
        <f t="shared" si="13"/>
        <v>0</v>
      </c>
    </row>
    <row r="55" spans="1:8" ht="14.25" hidden="1" customHeight="1">
      <c r="A55" s="56">
        <f t="shared" si="5"/>
        <v>0</v>
      </c>
      <c r="B55" s="97">
        <f t="shared" si="7"/>
        <v>0</v>
      </c>
      <c r="C55" s="97">
        <f t="shared" si="8"/>
        <v>0</v>
      </c>
      <c r="D55" s="97">
        <f t="shared" si="9"/>
        <v>0</v>
      </c>
      <c r="E55" s="97">
        <f t="shared" si="10"/>
        <v>0</v>
      </c>
      <c r="F55" s="97">
        <f t="shared" si="11"/>
        <v>0</v>
      </c>
      <c r="G55" s="97">
        <f t="shared" si="12"/>
        <v>0</v>
      </c>
      <c r="H55" s="97">
        <f t="shared" si="13"/>
        <v>0</v>
      </c>
    </row>
    <row r="56" spans="1:8" ht="14.25" customHeight="1">
      <c r="A56" s="56"/>
      <c r="B56" s="56"/>
      <c r="C56" s="56"/>
      <c r="D56" s="56"/>
      <c r="E56" s="56"/>
      <c r="F56" s="56"/>
      <c r="G56" s="56"/>
      <c r="H56" s="56"/>
    </row>
    <row r="57" spans="1:8" ht="14.25" customHeight="1">
      <c r="A57" s="98" t="s">
        <v>661</v>
      </c>
      <c r="B57" s="56"/>
      <c r="C57" s="56"/>
      <c r="D57" s="56"/>
      <c r="E57" s="56"/>
      <c r="F57" s="56"/>
      <c r="G57" s="56"/>
      <c r="H57" s="56"/>
    </row>
    <row r="58" spans="1:8" ht="14.25" customHeight="1">
      <c r="A58" s="56" t="str">
        <f t="shared" ref="A58:A66" si="14">A46</f>
        <v>Soybean</v>
      </c>
      <c r="B58" s="302">
        <f t="shared" ref="B58:H58" si="15">(B46-(B46*3%))</f>
        <v>1316.1750549999997</v>
      </c>
      <c r="C58" s="302">
        <f t="shared" si="15"/>
        <v>1447.7925604999998</v>
      </c>
      <c r="D58" s="302">
        <f t="shared" si="15"/>
        <v>1579.4100659999999</v>
      </c>
      <c r="E58" s="302">
        <f t="shared" si="15"/>
        <v>1711.0275715</v>
      </c>
      <c r="F58" s="302">
        <f t="shared" si="15"/>
        <v>1842.6450769999999</v>
      </c>
      <c r="G58" s="302">
        <f t="shared" si="15"/>
        <v>1974.2625825</v>
      </c>
      <c r="H58" s="302">
        <f t="shared" si="15"/>
        <v>2105.8800879999999</v>
      </c>
    </row>
    <row r="59" spans="1:8" ht="14.25" customHeight="1">
      <c r="A59" s="56" t="str">
        <f t="shared" si="14"/>
        <v>Red Gram/Tur</v>
      </c>
      <c r="B59" s="302">
        <f t="shared" ref="B59:H59" si="16">(B47-(B47*3%))</f>
        <v>860.72076999999979</v>
      </c>
      <c r="C59" s="302">
        <f t="shared" si="16"/>
        <v>946.79284699999982</v>
      </c>
      <c r="D59" s="302">
        <f t="shared" si="16"/>
        <v>1032.864924</v>
      </c>
      <c r="E59" s="302">
        <f t="shared" si="16"/>
        <v>1118.937001</v>
      </c>
      <c r="F59" s="302">
        <f t="shared" si="16"/>
        <v>1205.009078</v>
      </c>
      <c r="G59" s="302">
        <f t="shared" si="16"/>
        <v>1291.0811550000001</v>
      </c>
      <c r="H59" s="302">
        <f t="shared" si="16"/>
        <v>1377.1532319999999</v>
      </c>
    </row>
    <row r="60" spans="1:8" ht="14.25" hidden="1" customHeight="1">
      <c r="A60" s="56" t="str">
        <f t="shared" si="14"/>
        <v>Paddy/Rice</v>
      </c>
      <c r="B60" s="302">
        <f t="shared" ref="B60:H60" si="17">(B48-(B48*3%))</f>
        <v>0</v>
      </c>
      <c r="C60" s="302">
        <f t="shared" si="17"/>
        <v>0</v>
      </c>
      <c r="D60" s="302">
        <f t="shared" si="17"/>
        <v>0</v>
      </c>
      <c r="E60" s="302">
        <f t="shared" si="17"/>
        <v>0</v>
      </c>
      <c r="F60" s="302">
        <f t="shared" si="17"/>
        <v>0</v>
      </c>
      <c r="G60" s="302">
        <f t="shared" si="17"/>
        <v>0</v>
      </c>
      <c r="H60" s="302">
        <f t="shared" si="17"/>
        <v>0</v>
      </c>
    </row>
    <row r="61" spans="1:8" ht="14.25" customHeight="1">
      <c r="A61" s="56" t="str">
        <f t="shared" si="14"/>
        <v>Green Gram/ Moong</v>
      </c>
      <c r="B61" s="302">
        <f t="shared" ref="B61:H61" si="18">(B49-(B49*3%))</f>
        <v>430.36038499999989</v>
      </c>
      <c r="C61" s="302">
        <f t="shared" si="18"/>
        <v>473.39642349999991</v>
      </c>
      <c r="D61" s="302">
        <f t="shared" si="18"/>
        <v>516.43246199999999</v>
      </c>
      <c r="E61" s="302">
        <f t="shared" si="18"/>
        <v>559.4685005</v>
      </c>
      <c r="F61" s="302">
        <f t="shared" si="18"/>
        <v>602.50453900000002</v>
      </c>
      <c r="G61" s="302">
        <f t="shared" si="18"/>
        <v>645.54057750000004</v>
      </c>
      <c r="H61" s="302">
        <f t="shared" si="18"/>
        <v>688.57661599999994</v>
      </c>
    </row>
    <row r="62" spans="1:8" ht="14.25" hidden="1" customHeight="1">
      <c r="A62" s="56" t="str">
        <f t="shared" si="14"/>
        <v>Maize</v>
      </c>
      <c r="B62" s="302">
        <f t="shared" ref="B62:H62" si="19">(B50-(B50*3%))</f>
        <v>0</v>
      </c>
      <c r="C62" s="302">
        <f t="shared" si="19"/>
        <v>0</v>
      </c>
      <c r="D62" s="302">
        <f t="shared" si="19"/>
        <v>0</v>
      </c>
      <c r="E62" s="302">
        <f t="shared" si="19"/>
        <v>0</v>
      </c>
      <c r="F62" s="302">
        <f t="shared" si="19"/>
        <v>0</v>
      </c>
      <c r="G62" s="302">
        <f t="shared" si="19"/>
        <v>0</v>
      </c>
      <c r="H62" s="302">
        <f t="shared" si="19"/>
        <v>0</v>
      </c>
    </row>
    <row r="63" spans="1:8" ht="14.25" customHeight="1">
      <c r="A63" s="56" t="str">
        <f t="shared" si="14"/>
        <v>Black Gram/Udid</v>
      </c>
      <c r="B63" s="302">
        <f t="shared" ref="B63:H63" si="20">(B51-(B51*3%))</f>
        <v>430.36038499999989</v>
      </c>
      <c r="C63" s="302">
        <f t="shared" si="20"/>
        <v>473.39642349999991</v>
      </c>
      <c r="D63" s="302">
        <f t="shared" si="20"/>
        <v>516.43246199999999</v>
      </c>
      <c r="E63" s="302">
        <f t="shared" si="20"/>
        <v>559.4685005</v>
      </c>
      <c r="F63" s="302">
        <f t="shared" si="20"/>
        <v>602.50453900000002</v>
      </c>
      <c r="G63" s="302">
        <f t="shared" si="20"/>
        <v>645.54057750000004</v>
      </c>
      <c r="H63" s="302">
        <f t="shared" si="20"/>
        <v>688.57661599999994</v>
      </c>
    </row>
    <row r="64" spans="1:8" ht="14.25" hidden="1" customHeight="1">
      <c r="A64" s="56" t="str">
        <f t="shared" si="14"/>
        <v>Wheat</v>
      </c>
      <c r="B64" s="302">
        <f t="shared" ref="B64:H64" si="21">(B52-(B52*3%))</f>
        <v>0</v>
      </c>
      <c r="C64" s="302">
        <f t="shared" si="21"/>
        <v>0</v>
      </c>
      <c r="D64" s="302">
        <f t="shared" si="21"/>
        <v>0</v>
      </c>
      <c r="E64" s="302">
        <f t="shared" si="21"/>
        <v>0</v>
      </c>
      <c r="F64" s="302">
        <f t="shared" si="21"/>
        <v>0</v>
      </c>
      <c r="G64" s="302">
        <f t="shared" si="21"/>
        <v>0</v>
      </c>
      <c r="H64" s="302">
        <f t="shared" si="21"/>
        <v>0</v>
      </c>
    </row>
    <row r="65" spans="1:8" ht="14.25" customHeight="1">
      <c r="A65" s="56" t="str">
        <f t="shared" si="14"/>
        <v>Bengal Gram/Channa</v>
      </c>
      <c r="B65" s="302">
        <f t="shared" ref="B65:H65" si="22">(B53-(B53*3%))</f>
        <v>885.31279199999972</v>
      </c>
      <c r="C65" s="302">
        <f t="shared" si="22"/>
        <v>973.8440711999998</v>
      </c>
      <c r="D65" s="302">
        <f t="shared" si="22"/>
        <v>1062.3753503999999</v>
      </c>
      <c r="E65" s="302">
        <f t="shared" si="22"/>
        <v>1150.9066295999999</v>
      </c>
      <c r="F65" s="302">
        <f t="shared" si="22"/>
        <v>1239.4379088000001</v>
      </c>
      <c r="G65" s="302">
        <f t="shared" si="22"/>
        <v>1327.969188</v>
      </c>
      <c r="H65" s="302">
        <f t="shared" si="22"/>
        <v>1416.5004672</v>
      </c>
    </row>
    <row r="66" spans="1:8" ht="14.25" hidden="1" customHeight="1">
      <c r="A66" s="56" t="str">
        <f t="shared" si="14"/>
        <v>Groundnut</v>
      </c>
      <c r="B66" s="97"/>
      <c r="C66" s="97"/>
      <c r="D66" s="97"/>
      <c r="E66" s="97"/>
      <c r="F66" s="97"/>
      <c r="G66" s="97"/>
      <c r="H66" s="97"/>
    </row>
    <row r="67" spans="1:8" ht="14.25" hidden="1" customHeight="1">
      <c r="A67" s="56"/>
      <c r="B67" s="97"/>
      <c r="C67" s="97"/>
      <c r="D67" s="97"/>
      <c r="E67" s="97"/>
      <c r="F67" s="97"/>
      <c r="G67" s="97"/>
      <c r="H67" s="97"/>
    </row>
    <row r="68" spans="1:8" ht="14.25" hidden="1" customHeight="1">
      <c r="A68" s="56"/>
      <c r="B68" s="97"/>
      <c r="C68" s="97"/>
      <c r="D68" s="97"/>
      <c r="E68" s="97"/>
      <c r="F68" s="97"/>
      <c r="G68" s="97"/>
      <c r="H68" s="97"/>
    </row>
    <row r="69" spans="1:8" ht="14.25" hidden="1" customHeight="1">
      <c r="A69" s="56" t="str">
        <f>A40</f>
        <v>Green Gram/ Moong</v>
      </c>
      <c r="B69" s="97"/>
      <c r="C69" s="97"/>
      <c r="D69" s="97"/>
      <c r="E69" s="97"/>
      <c r="F69" s="97"/>
      <c r="G69" s="97"/>
      <c r="H69" s="97"/>
    </row>
    <row r="70" spans="1:8" ht="14.25" hidden="1" customHeight="1">
      <c r="A70" s="56" t="s">
        <v>662</v>
      </c>
      <c r="B70" s="97">
        <f t="shared" ref="B70:H70" si="23">B40*80%</f>
        <v>0</v>
      </c>
      <c r="C70" s="97">
        <f t="shared" si="23"/>
        <v>0</v>
      </c>
      <c r="D70" s="97">
        <f t="shared" si="23"/>
        <v>0</v>
      </c>
      <c r="E70" s="97">
        <f t="shared" si="23"/>
        <v>0</v>
      </c>
      <c r="F70" s="97">
        <f t="shared" si="23"/>
        <v>0</v>
      </c>
      <c r="G70" s="97">
        <f t="shared" si="23"/>
        <v>0</v>
      </c>
      <c r="H70" s="97">
        <f t="shared" si="23"/>
        <v>0</v>
      </c>
    </row>
    <row r="71" spans="1:8" ht="14.25" hidden="1" customHeight="1">
      <c r="A71" s="56" t="s">
        <v>663</v>
      </c>
      <c r="B71" s="97">
        <f t="shared" ref="B71:H71" si="24">B40*20%</f>
        <v>0</v>
      </c>
      <c r="C71" s="97">
        <f t="shared" si="24"/>
        <v>0</v>
      </c>
      <c r="D71" s="97">
        <f t="shared" si="24"/>
        <v>0</v>
      </c>
      <c r="E71" s="97">
        <f t="shared" si="24"/>
        <v>0</v>
      </c>
      <c r="F71" s="97">
        <f t="shared" si="24"/>
        <v>0</v>
      </c>
      <c r="G71" s="97">
        <f t="shared" si="24"/>
        <v>0</v>
      </c>
      <c r="H71" s="97">
        <f t="shared" si="24"/>
        <v>0</v>
      </c>
    </row>
    <row r="72" spans="1:8" ht="14.25" hidden="1" customHeight="1">
      <c r="A72" s="56" t="str">
        <f>A41</f>
        <v>Maize</v>
      </c>
      <c r="B72" s="97"/>
      <c r="C72" s="97"/>
      <c r="D72" s="97"/>
      <c r="E72" s="97"/>
      <c r="F72" s="97"/>
      <c r="G72" s="97"/>
      <c r="H72" s="97"/>
    </row>
    <row r="73" spans="1:8" ht="14.25" hidden="1" customHeight="1">
      <c r="A73" s="56"/>
      <c r="B73" s="97"/>
      <c r="C73" s="97"/>
      <c r="D73" s="97"/>
      <c r="E73" s="97"/>
      <c r="F73" s="97"/>
      <c r="G73" s="97"/>
      <c r="H73" s="97"/>
    </row>
    <row r="74" spans="1:8" ht="14.25" hidden="1" customHeight="1">
      <c r="A74" s="56"/>
      <c r="B74" s="97"/>
      <c r="C74" s="97"/>
      <c r="D74" s="97"/>
      <c r="E74" s="97"/>
      <c r="F74" s="97"/>
      <c r="G74" s="97"/>
      <c r="H74" s="97"/>
    </row>
    <row r="75" spans="1:8" ht="14.25" hidden="1" customHeight="1">
      <c r="A75" s="56"/>
      <c r="B75" s="97"/>
      <c r="C75" s="97"/>
      <c r="D75" s="97"/>
      <c r="E75" s="97"/>
      <c r="F75" s="97"/>
      <c r="G75" s="97"/>
      <c r="H75" s="97"/>
    </row>
    <row r="76" spans="1:8" ht="14.25" hidden="1" customHeight="1">
      <c r="A76" s="56"/>
      <c r="B76" s="97"/>
      <c r="C76" s="97"/>
      <c r="D76" s="97"/>
      <c r="E76" s="97"/>
      <c r="F76" s="97"/>
      <c r="G76" s="97"/>
      <c r="H76" s="97"/>
    </row>
    <row r="77" spans="1:8" ht="14.25" hidden="1" customHeight="1">
      <c r="A77" s="56" t="str">
        <f>A42</f>
        <v>Black Gram/Udid</v>
      </c>
      <c r="B77" s="97"/>
      <c r="C77" s="97"/>
      <c r="D77" s="97"/>
      <c r="E77" s="97"/>
      <c r="F77" s="97"/>
      <c r="G77" s="97"/>
      <c r="H77" s="97"/>
    </row>
    <row r="78" spans="1:8" ht="14.25" hidden="1" customHeight="1">
      <c r="A78" s="56" t="s">
        <v>662</v>
      </c>
      <c r="B78" s="97">
        <f t="shared" ref="B78:H78" si="25">B42*80%</f>
        <v>0</v>
      </c>
      <c r="C78" s="97">
        <f t="shared" si="25"/>
        <v>0</v>
      </c>
      <c r="D78" s="97">
        <f t="shared" si="25"/>
        <v>0</v>
      </c>
      <c r="E78" s="97">
        <f t="shared" si="25"/>
        <v>0</v>
      </c>
      <c r="F78" s="97">
        <f t="shared" si="25"/>
        <v>0</v>
      </c>
      <c r="G78" s="97">
        <f t="shared" si="25"/>
        <v>0</v>
      </c>
      <c r="H78" s="97">
        <f t="shared" si="25"/>
        <v>0</v>
      </c>
    </row>
    <row r="79" spans="1:8" ht="14.25" hidden="1" customHeight="1">
      <c r="A79" s="56" t="s">
        <v>663</v>
      </c>
      <c r="B79" s="97">
        <f t="shared" ref="B79:H79" si="26">B42*20%</f>
        <v>0</v>
      </c>
      <c r="C79" s="97">
        <f t="shared" si="26"/>
        <v>0</v>
      </c>
      <c r="D79" s="97">
        <f t="shared" si="26"/>
        <v>0</v>
      </c>
      <c r="E79" s="97">
        <f t="shared" si="26"/>
        <v>0</v>
      </c>
      <c r="F79" s="97">
        <f t="shared" si="26"/>
        <v>0</v>
      </c>
      <c r="G79" s="97">
        <f t="shared" si="26"/>
        <v>0</v>
      </c>
      <c r="H79" s="97">
        <f t="shared" si="26"/>
        <v>0</v>
      </c>
    </row>
    <row r="80" spans="1:8" ht="14.25" hidden="1" customHeight="1">
      <c r="A80" s="56" t="str">
        <f>A43</f>
        <v>Bajra</v>
      </c>
      <c r="B80" s="97"/>
      <c r="C80" s="97"/>
      <c r="D80" s="97"/>
      <c r="E80" s="97"/>
      <c r="F80" s="97"/>
      <c r="G80" s="97"/>
      <c r="H80" s="97"/>
    </row>
    <row r="81" spans="1:8" ht="14.25" hidden="1" customHeight="1">
      <c r="A81" s="56"/>
      <c r="B81" s="97"/>
      <c r="C81" s="97"/>
      <c r="D81" s="97"/>
      <c r="E81" s="97"/>
      <c r="F81" s="97"/>
      <c r="G81" s="97"/>
      <c r="H81" s="97"/>
    </row>
    <row r="82" spans="1:8" ht="14.25" hidden="1" customHeight="1">
      <c r="A82" s="56"/>
      <c r="B82" s="97"/>
      <c r="C82" s="97"/>
      <c r="D82" s="97"/>
      <c r="E82" s="97"/>
      <c r="F82" s="97"/>
      <c r="G82" s="97"/>
      <c r="H82" s="97"/>
    </row>
    <row r="83" spans="1:8" ht="14.25" hidden="1" customHeight="1">
      <c r="A83" s="56" t="str">
        <f>A44</f>
        <v>Jawar</v>
      </c>
      <c r="B83" s="97"/>
      <c r="C83" s="97"/>
      <c r="D83" s="97"/>
      <c r="E83" s="97"/>
      <c r="F83" s="97"/>
      <c r="G83" s="97"/>
      <c r="H83" s="97"/>
    </row>
    <row r="84" spans="1:8" ht="14.25" hidden="1" customHeight="1">
      <c r="A84" s="56"/>
      <c r="B84" s="97"/>
      <c r="C84" s="97"/>
      <c r="D84" s="97"/>
      <c r="E84" s="97"/>
      <c r="F84" s="97"/>
      <c r="G84" s="97"/>
      <c r="H84" s="97"/>
    </row>
    <row r="85" spans="1:8" ht="14.25" hidden="1" customHeight="1">
      <c r="A85" s="56"/>
      <c r="B85" s="97"/>
      <c r="C85" s="97"/>
      <c r="D85" s="97"/>
      <c r="E85" s="97"/>
      <c r="F85" s="97"/>
      <c r="G85" s="97"/>
      <c r="H85" s="97"/>
    </row>
    <row r="86" spans="1:8" ht="14.25" hidden="1" customHeight="1">
      <c r="A86" s="56"/>
      <c r="B86" s="97"/>
      <c r="C86" s="97"/>
      <c r="D86" s="97"/>
      <c r="E86" s="97"/>
      <c r="F86" s="97"/>
      <c r="G86" s="97"/>
      <c r="H86" s="97"/>
    </row>
    <row r="87" spans="1:8" ht="14.25" hidden="1" customHeight="1">
      <c r="A87" s="56" t="str">
        <f>A45</f>
        <v>Sunflower</v>
      </c>
      <c r="B87" s="97"/>
      <c r="C87" s="97"/>
      <c r="D87" s="97"/>
      <c r="E87" s="97"/>
      <c r="F87" s="97"/>
      <c r="G87" s="97"/>
      <c r="H87" s="97"/>
    </row>
    <row r="88" spans="1:8" ht="14.25" hidden="1" customHeight="1">
      <c r="A88" s="56"/>
      <c r="B88" s="97"/>
      <c r="C88" s="97"/>
      <c r="D88" s="97"/>
      <c r="E88" s="97"/>
      <c r="F88" s="97"/>
      <c r="G88" s="97"/>
      <c r="H88" s="97"/>
    </row>
    <row r="89" spans="1:8" ht="14.25" hidden="1" customHeight="1">
      <c r="A89" s="56"/>
      <c r="B89" s="97"/>
      <c r="C89" s="97"/>
      <c r="D89" s="97"/>
      <c r="E89" s="97"/>
      <c r="F89" s="97"/>
      <c r="G89" s="97"/>
      <c r="H89" s="97"/>
    </row>
    <row r="90" spans="1:8" ht="14.25" hidden="1" customHeight="1">
      <c r="A90" s="56"/>
      <c r="B90" s="97"/>
      <c r="C90" s="97"/>
      <c r="D90" s="97"/>
      <c r="E90" s="97"/>
      <c r="F90" s="97"/>
      <c r="G90" s="97"/>
      <c r="H90" s="97"/>
    </row>
    <row r="91" spans="1:8" ht="14.25" hidden="1" customHeight="1">
      <c r="A91" s="56" t="str">
        <f>A46</f>
        <v>Soybean</v>
      </c>
      <c r="B91" s="97">
        <f t="shared" ref="B91:H91" si="27">B46*98%</f>
        <v>1329.7438699999998</v>
      </c>
      <c r="C91" s="97">
        <f t="shared" si="27"/>
        <v>1462.718257</v>
      </c>
      <c r="D91" s="97">
        <f t="shared" si="27"/>
        <v>1595.6926439999997</v>
      </c>
      <c r="E91" s="97">
        <f t="shared" si="27"/>
        <v>1728.667031</v>
      </c>
      <c r="F91" s="97">
        <f t="shared" si="27"/>
        <v>1861.6414179999999</v>
      </c>
      <c r="G91" s="97">
        <f t="shared" si="27"/>
        <v>1994.6158049999999</v>
      </c>
      <c r="H91" s="97">
        <f t="shared" si="27"/>
        <v>2127.5901920000001</v>
      </c>
    </row>
    <row r="92" spans="1:8" ht="14.25" hidden="1" customHeight="1">
      <c r="A92" s="56" t="s">
        <v>664</v>
      </c>
      <c r="B92" s="97"/>
      <c r="C92" s="97"/>
      <c r="D92" s="97"/>
      <c r="E92" s="97"/>
      <c r="F92" s="97"/>
      <c r="G92" s="97"/>
      <c r="H92" s="97"/>
    </row>
    <row r="93" spans="1:8" ht="14.25" hidden="1" customHeight="1">
      <c r="A93" s="56" t="s">
        <v>633</v>
      </c>
      <c r="B93" s="97"/>
      <c r="C93" s="97"/>
      <c r="D93" s="97"/>
      <c r="E93" s="97"/>
      <c r="F93" s="97"/>
      <c r="G93" s="97"/>
      <c r="H93" s="97"/>
    </row>
    <row r="94" spans="1:8" ht="14.25" hidden="1" customHeight="1">
      <c r="A94" s="56" t="str">
        <f>A47</f>
        <v>Red Gram/Tur</v>
      </c>
      <c r="B94" s="97"/>
      <c r="C94" s="97"/>
      <c r="D94" s="97"/>
      <c r="E94" s="97"/>
      <c r="F94" s="97"/>
      <c r="G94" s="97"/>
      <c r="H94" s="97"/>
    </row>
    <row r="95" spans="1:8" ht="14.25" hidden="1" customHeight="1">
      <c r="A95" s="56" t="s">
        <v>662</v>
      </c>
      <c r="B95" s="97">
        <f t="shared" ref="B95:H95" si="28">B47*80%</f>
        <v>709.87279999999987</v>
      </c>
      <c r="C95" s="97">
        <f t="shared" si="28"/>
        <v>780.86007999999993</v>
      </c>
      <c r="D95" s="97">
        <f t="shared" si="28"/>
        <v>851.84735999999998</v>
      </c>
      <c r="E95" s="97">
        <f t="shared" si="28"/>
        <v>922.83464000000004</v>
      </c>
      <c r="F95" s="97">
        <f t="shared" si="28"/>
        <v>993.82191999999998</v>
      </c>
      <c r="G95" s="97">
        <f t="shared" si="28"/>
        <v>1064.8092000000001</v>
      </c>
      <c r="H95" s="97">
        <f t="shared" si="28"/>
        <v>1135.79648</v>
      </c>
    </row>
    <row r="96" spans="1:8" ht="14.25" hidden="1" customHeight="1">
      <c r="A96" s="56" t="s">
        <v>663</v>
      </c>
      <c r="B96" s="97">
        <f t="shared" ref="B96:H96" si="29">B47*20%</f>
        <v>177.46819999999997</v>
      </c>
      <c r="C96" s="97">
        <f t="shared" si="29"/>
        <v>195.21501999999998</v>
      </c>
      <c r="D96" s="97">
        <f t="shared" si="29"/>
        <v>212.96184</v>
      </c>
      <c r="E96" s="97">
        <f t="shared" si="29"/>
        <v>230.70866000000001</v>
      </c>
      <c r="F96" s="97">
        <f t="shared" si="29"/>
        <v>248.45547999999999</v>
      </c>
      <c r="G96" s="97">
        <f t="shared" si="29"/>
        <v>266.20230000000004</v>
      </c>
      <c r="H96" s="97">
        <f t="shared" si="29"/>
        <v>283.94911999999999</v>
      </c>
    </row>
    <row r="97" spans="1:8" ht="14.25" hidden="1" customHeight="1">
      <c r="A97" s="56" t="str">
        <f>A48</f>
        <v>Paddy/Rice</v>
      </c>
      <c r="B97" s="97"/>
      <c r="C97" s="97"/>
      <c r="D97" s="97"/>
      <c r="E97" s="97"/>
      <c r="F97" s="97"/>
      <c r="G97" s="97"/>
      <c r="H97" s="97"/>
    </row>
    <row r="98" spans="1:8" ht="14.25" hidden="1" customHeight="1">
      <c r="A98" s="56"/>
      <c r="B98" s="97"/>
      <c r="C98" s="97"/>
      <c r="D98" s="97"/>
      <c r="E98" s="97"/>
      <c r="F98" s="97"/>
      <c r="G98" s="97"/>
      <c r="H98" s="97"/>
    </row>
    <row r="99" spans="1:8" ht="14.25" hidden="1" customHeight="1">
      <c r="A99" s="56"/>
      <c r="B99" s="97"/>
      <c r="C99" s="97"/>
      <c r="D99" s="97"/>
      <c r="E99" s="97"/>
      <c r="F99" s="97"/>
      <c r="G99" s="97"/>
      <c r="H99" s="97"/>
    </row>
    <row r="100" spans="1:8" ht="14.25" hidden="1" customHeight="1">
      <c r="A100" s="56" t="str">
        <f>A49</f>
        <v>Green Gram/ Moong</v>
      </c>
      <c r="B100" s="97"/>
      <c r="C100" s="97"/>
      <c r="D100" s="97"/>
      <c r="E100" s="97"/>
      <c r="F100" s="97"/>
      <c r="G100" s="97"/>
      <c r="H100" s="97"/>
    </row>
    <row r="101" spans="1:8" ht="14.25" hidden="1" customHeight="1">
      <c r="A101" s="56"/>
      <c r="B101" s="97"/>
      <c r="C101" s="97"/>
      <c r="D101" s="97"/>
      <c r="E101" s="97"/>
      <c r="F101" s="97"/>
      <c r="G101" s="97"/>
      <c r="H101" s="97"/>
    </row>
    <row r="102" spans="1:8" ht="14.25" hidden="1" customHeight="1">
      <c r="A102" s="56"/>
      <c r="B102" s="97"/>
      <c r="C102" s="97"/>
      <c r="D102" s="97"/>
      <c r="E102" s="97"/>
      <c r="F102" s="97"/>
      <c r="G102" s="97"/>
      <c r="H102" s="97"/>
    </row>
    <row r="103" spans="1:8" ht="14.25" hidden="1" customHeight="1">
      <c r="A103" s="56" t="str">
        <f>A50</f>
        <v>Maize</v>
      </c>
      <c r="B103" s="97"/>
      <c r="C103" s="97"/>
      <c r="D103" s="97"/>
      <c r="E103" s="97"/>
      <c r="F103" s="97"/>
      <c r="G103" s="97"/>
      <c r="H103" s="97"/>
    </row>
    <row r="104" spans="1:8" ht="14.25" hidden="1" customHeight="1">
      <c r="A104" s="56"/>
      <c r="B104" s="97"/>
      <c r="C104" s="97"/>
      <c r="D104" s="97"/>
      <c r="E104" s="97"/>
      <c r="F104" s="97"/>
      <c r="G104" s="97"/>
      <c r="H104" s="97"/>
    </row>
    <row r="105" spans="1:8" ht="14.25" hidden="1" customHeight="1">
      <c r="A105" s="56"/>
      <c r="B105" s="97"/>
      <c r="C105" s="97"/>
      <c r="D105" s="97"/>
      <c r="E105" s="97"/>
      <c r="F105" s="97"/>
      <c r="G105" s="97"/>
      <c r="H105" s="97"/>
    </row>
    <row r="106" spans="1:8" ht="14.25" hidden="1" customHeight="1">
      <c r="A106" s="56" t="str">
        <f>A51</f>
        <v>Black Gram/Udid</v>
      </c>
      <c r="B106" s="97"/>
      <c r="C106" s="97"/>
      <c r="D106" s="97"/>
      <c r="E106" s="97"/>
      <c r="F106" s="97"/>
      <c r="G106" s="97"/>
      <c r="H106" s="97"/>
    </row>
    <row r="107" spans="1:8" ht="14.25" hidden="1" customHeight="1">
      <c r="A107" s="56"/>
      <c r="B107" s="97"/>
      <c r="C107" s="97"/>
      <c r="D107" s="97"/>
      <c r="E107" s="97"/>
      <c r="F107" s="97"/>
      <c r="G107" s="97"/>
      <c r="H107" s="97"/>
    </row>
    <row r="108" spans="1:8" ht="14.25" hidden="1" customHeight="1">
      <c r="A108" s="56"/>
      <c r="B108" s="97"/>
      <c r="C108" s="97"/>
      <c r="D108" s="97"/>
      <c r="E108" s="97"/>
      <c r="F108" s="97"/>
      <c r="G108" s="97"/>
      <c r="H108" s="97"/>
    </row>
    <row r="109" spans="1:8" ht="14.25" hidden="1" customHeight="1">
      <c r="A109" s="56" t="str">
        <f>A52</f>
        <v>Wheat</v>
      </c>
      <c r="B109" s="97"/>
      <c r="C109" s="97"/>
      <c r="D109" s="97"/>
      <c r="E109" s="97"/>
      <c r="F109" s="97"/>
      <c r="G109" s="97"/>
      <c r="H109" s="97"/>
    </row>
    <row r="110" spans="1:8" ht="14.25" hidden="1" customHeight="1">
      <c r="A110" s="56"/>
      <c r="B110" s="97"/>
      <c r="C110" s="97"/>
      <c r="D110" s="97"/>
      <c r="E110" s="97"/>
      <c r="F110" s="97"/>
      <c r="G110" s="97"/>
      <c r="H110" s="97"/>
    </row>
    <row r="111" spans="1:8" ht="14.25" hidden="1" customHeight="1">
      <c r="A111" s="56"/>
      <c r="B111" s="97"/>
      <c r="C111" s="97"/>
      <c r="D111" s="97"/>
      <c r="E111" s="97"/>
      <c r="F111" s="97"/>
      <c r="G111" s="97"/>
      <c r="H111" s="97"/>
    </row>
    <row r="112" spans="1:8" ht="14.25" hidden="1" customHeight="1">
      <c r="A112" s="56" t="str">
        <f>A53</f>
        <v>Bengal Gram/Channa</v>
      </c>
      <c r="B112" s="97"/>
      <c r="C112" s="97"/>
      <c r="D112" s="97"/>
      <c r="E112" s="97"/>
      <c r="F112" s="97"/>
      <c r="G112" s="97"/>
      <c r="H112" s="97"/>
    </row>
    <row r="113" spans="1:8" ht="14.25" hidden="1" customHeight="1">
      <c r="A113" s="56"/>
      <c r="B113" s="97"/>
      <c r="C113" s="97"/>
      <c r="D113" s="97"/>
      <c r="E113" s="97"/>
      <c r="F113" s="97"/>
      <c r="G113" s="97"/>
      <c r="H113" s="97"/>
    </row>
    <row r="114" spans="1:8" ht="14.25" hidden="1" customHeight="1">
      <c r="A114" s="56"/>
      <c r="B114" s="97"/>
      <c r="C114" s="97"/>
      <c r="D114" s="97"/>
      <c r="E114" s="97"/>
      <c r="F114" s="97"/>
      <c r="G114" s="97"/>
      <c r="H114" s="97"/>
    </row>
    <row r="115" spans="1:8" ht="14.25" hidden="1" customHeight="1">
      <c r="A115" s="56" t="str">
        <f>A54</f>
        <v>Groundnut</v>
      </c>
      <c r="B115" s="97"/>
      <c r="C115" s="97"/>
      <c r="D115" s="97"/>
      <c r="E115" s="97"/>
      <c r="F115" s="97"/>
      <c r="G115" s="97"/>
      <c r="H115" s="97"/>
    </row>
    <row r="116" spans="1:8" ht="14.25" hidden="1" customHeight="1">
      <c r="A116" s="56"/>
      <c r="B116" s="97"/>
      <c r="C116" s="97"/>
      <c r="D116" s="97"/>
      <c r="E116" s="97"/>
      <c r="F116" s="97"/>
      <c r="G116" s="97"/>
      <c r="H116" s="97"/>
    </row>
    <row r="117" spans="1:8" ht="14.25" hidden="1" customHeight="1">
      <c r="A117" s="56"/>
      <c r="B117" s="97"/>
      <c r="C117" s="97"/>
      <c r="D117" s="97"/>
      <c r="E117" s="97"/>
      <c r="F117" s="97"/>
      <c r="G117" s="97"/>
      <c r="H117" s="97"/>
    </row>
    <row r="118" spans="1:8" ht="14.25" hidden="1" customHeight="1">
      <c r="A118" s="56">
        <f>A55</f>
        <v>0</v>
      </c>
      <c r="B118" s="97"/>
      <c r="C118" s="97"/>
      <c r="D118" s="97"/>
      <c r="E118" s="97"/>
      <c r="F118" s="97"/>
      <c r="G118" s="97"/>
      <c r="H118" s="97"/>
    </row>
    <row r="119" spans="1:8" ht="14.25" hidden="1" customHeight="1">
      <c r="A119" s="56"/>
      <c r="B119" s="97"/>
      <c r="C119" s="97"/>
      <c r="D119" s="97"/>
      <c r="E119" s="97"/>
      <c r="F119" s="97"/>
      <c r="G119" s="97"/>
      <c r="H119" s="97"/>
    </row>
    <row r="120" spans="1:8" ht="14.25" hidden="1" customHeight="1">
      <c r="A120" s="56"/>
      <c r="B120" s="97"/>
      <c r="C120" s="97"/>
      <c r="D120" s="97"/>
      <c r="E120" s="97"/>
      <c r="F120" s="97"/>
      <c r="G120" s="97"/>
      <c r="H120" s="97"/>
    </row>
    <row r="121" spans="1:8" ht="14.25" hidden="1" customHeight="1">
      <c r="A121" s="56">
        <f>A56</f>
        <v>0</v>
      </c>
      <c r="B121" s="97"/>
      <c r="C121" s="97"/>
      <c r="D121" s="97"/>
      <c r="E121" s="97"/>
      <c r="F121" s="97"/>
      <c r="G121" s="97"/>
      <c r="H121" s="97"/>
    </row>
    <row r="122" spans="1:8" ht="14.25" hidden="1" customHeight="1">
      <c r="A122" s="92" t="s">
        <v>635</v>
      </c>
      <c r="B122" s="158"/>
      <c r="C122" s="158"/>
      <c r="D122" s="158"/>
      <c r="E122" s="158"/>
      <c r="F122" s="158"/>
      <c r="G122" s="158"/>
      <c r="H122" s="158"/>
    </row>
    <row r="123" spans="1:8" ht="14.25" customHeight="1">
      <c r="A123" s="92"/>
      <c r="B123" s="158"/>
      <c r="C123" s="158"/>
      <c r="D123" s="158"/>
      <c r="E123" s="158"/>
      <c r="F123" s="158"/>
      <c r="G123" s="158"/>
      <c r="H123" s="158"/>
    </row>
    <row r="124" spans="1:8" ht="14.25" customHeight="1">
      <c r="A124" s="92" t="s">
        <v>665</v>
      </c>
      <c r="B124">
        <v>50</v>
      </c>
    </row>
    <row r="125" spans="1:8" ht="14.25" customHeight="1"/>
    <row r="126" spans="1:8" ht="14.25" customHeight="1"/>
    <row r="127" spans="1:8" ht="14.25" customHeight="1"/>
    <row r="128" spans="1:8" ht="14.25" customHeight="1"/>
    <row r="129" spans="1:12" ht="14.25" customHeight="1"/>
    <row r="130" spans="1:12" ht="14.25" customHeight="1"/>
    <row r="131" spans="1:12" ht="14.25" customHeight="1">
      <c r="A131" s="359" t="s">
        <v>666</v>
      </c>
      <c r="B131" s="360"/>
      <c r="C131" s="360"/>
      <c r="D131" s="360"/>
      <c r="E131" s="360"/>
      <c r="F131" s="360"/>
      <c r="G131" s="360"/>
      <c r="H131" s="360"/>
      <c r="I131" s="360"/>
      <c r="J131" s="360"/>
    </row>
    <row r="132" spans="1:12" ht="14.25" customHeight="1">
      <c r="A132" s="30"/>
      <c r="B132" s="30"/>
      <c r="C132" s="30"/>
      <c r="D132" s="30"/>
      <c r="E132" s="30"/>
      <c r="F132" s="30"/>
      <c r="G132" s="30"/>
      <c r="H132" s="30"/>
    </row>
    <row r="133" spans="1:12" ht="14.25" customHeight="1">
      <c r="A133" s="303"/>
      <c r="B133" s="303"/>
      <c r="C133" s="303"/>
      <c r="D133" s="304">
        <v>1</v>
      </c>
      <c r="E133" s="305">
        <f t="shared" ref="E133:J133" si="30">(D133*5%)+D133</f>
        <v>1.05</v>
      </c>
      <c r="F133" s="305">
        <f t="shared" si="30"/>
        <v>1.1025</v>
      </c>
      <c r="G133" s="305">
        <f t="shared" si="30"/>
        <v>1.1576250000000001</v>
      </c>
      <c r="H133" s="305">
        <f t="shared" si="30"/>
        <v>1.2155062500000002</v>
      </c>
      <c r="I133" s="305">
        <f t="shared" si="30"/>
        <v>1.2762815625000004</v>
      </c>
      <c r="J133" s="305">
        <f t="shared" si="30"/>
        <v>1.3400956406250004</v>
      </c>
    </row>
    <row r="134" spans="1:12" ht="14.25" customHeight="1">
      <c r="A134" s="92"/>
      <c r="B134" s="92"/>
      <c r="C134" s="92"/>
      <c r="D134" s="92"/>
      <c r="E134" s="92"/>
      <c r="F134" s="92"/>
      <c r="G134" s="92"/>
      <c r="H134" s="92"/>
      <c r="I134" s="92"/>
      <c r="J134" s="92"/>
    </row>
    <row r="135" spans="1:12" ht="14.25" customHeight="1">
      <c r="A135" s="95" t="s">
        <v>201</v>
      </c>
      <c r="B135" s="95" t="s">
        <v>115</v>
      </c>
      <c r="C135" s="95" t="s">
        <v>129</v>
      </c>
      <c r="D135" s="96" t="s">
        <v>204</v>
      </c>
      <c r="E135" s="96" t="s">
        <v>205</v>
      </c>
      <c r="F135" s="96" t="s">
        <v>206</v>
      </c>
      <c r="G135" s="96" t="s">
        <v>207</v>
      </c>
      <c r="H135" s="96" t="s">
        <v>208</v>
      </c>
      <c r="I135" s="96" t="s">
        <v>209</v>
      </c>
      <c r="J135" s="96" t="s">
        <v>210</v>
      </c>
    </row>
    <row r="136" spans="1:12" ht="14.25" customHeight="1">
      <c r="A136" s="56"/>
      <c r="B136" s="56"/>
      <c r="C136" s="56"/>
      <c r="D136" s="56"/>
      <c r="E136" s="56"/>
      <c r="F136" s="56"/>
      <c r="G136" s="56"/>
      <c r="H136" s="56"/>
      <c r="I136" s="56"/>
      <c r="J136" s="56"/>
    </row>
    <row r="137" spans="1:12" ht="14.25" customHeight="1">
      <c r="A137" s="98" t="s">
        <v>396</v>
      </c>
      <c r="B137" s="98"/>
      <c r="C137" s="98"/>
      <c r="D137" s="171"/>
      <c r="E137" s="171"/>
      <c r="F137" s="171"/>
      <c r="G137" s="171"/>
      <c r="H137" s="171"/>
      <c r="I137" s="56"/>
      <c r="J137" s="56"/>
    </row>
    <row r="138" spans="1:12" ht="14.25" customHeight="1">
      <c r="A138" s="98" t="str">
        <f t="shared" ref="A138:A139" si="31">A58</f>
        <v>Soybean</v>
      </c>
      <c r="B138" s="98" t="s">
        <v>637</v>
      </c>
      <c r="C138" s="98">
        <v>5500</v>
      </c>
      <c r="D138" s="296">
        <f>((1-'5.Closing Stock &amp; W Capital'!$D$17)*'13.Facility 2 Cleaning &amp; Gradin'!B58)*$C138*D$133</f>
        <v>6877014.6623749984</v>
      </c>
      <c r="E138" s="296">
        <f>(((1-'5.Closing Stock &amp; W Capital'!$D$17)*C58)+('5.Closing Stock &amp; W Capital'!$D$17*B58))*$C138*E$133</f>
        <v>8322997.4821743732</v>
      </c>
      <c r="F138" s="296">
        <f>(((1-'5.Closing Stock &amp; W Capital'!$D$17)*D58)+('5.Closing Stock &amp; W Capital'!$D$17*C58))*$C138*F$133</f>
        <v>9537243.0052587204</v>
      </c>
      <c r="G138" s="296">
        <f>(((1-'5.Closing Stock &amp; W Capital'!$D$17)*E58)+('5.Closing Stock &amp; W Capital'!$D$17*D58))*$C138*G$133</f>
        <v>10852105.586946063</v>
      </c>
      <c r="H138" s="296">
        <f>(((1-'5.Closing Stock &amp; W Capital'!$D$17)*F58)+('5.Closing Stock &amp; W Capital'!$D$17*E58))*$C138*H$133</f>
        <v>12274611.319288991</v>
      </c>
      <c r="I138" s="296">
        <f>(((1-'5.Closing Stock &amp; W Capital'!$D$17)*G58)+('5.Closing Stock &amp; W Capital'!$D$17*F58))*$C138*I$133</f>
        <v>13812237.360898852</v>
      </c>
      <c r="J138" s="296">
        <f>(((1-'5.Closing Stock &amp; W Capital'!$D$17)*H58)+('5.Closing Stock &amp; W Capital'!$D$17*G58))*$C138*J$133</f>
        <v>15472939.478371471</v>
      </c>
    </row>
    <row r="139" spans="1:12" ht="14.25" customHeight="1">
      <c r="A139" s="98" t="str">
        <f t="shared" si="31"/>
        <v>Red Gram/Tur</v>
      </c>
      <c r="B139" s="98" t="s">
        <v>637</v>
      </c>
      <c r="C139" s="56">
        <v>6500</v>
      </c>
      <c r="D139" s="296">
        <f>((1-'5.Closing Stock &amp; W Capital'!$D$17)*'13.Facility 2 Cleaning &amp; Gradin'!B59)*$C139*D$133</f>
        <v>5314950.7547499985</v>
      </c>
      <c r="E139" s="296">
        <f>(((1-'5.Closing Stock &amp; W Capital'!$D$17)*C59)+('5.Closing Stock &amp; W Capital'!$D$17*B59))*$C139*E$133</f>
        <v>6432489.0844987491</v>
      </c>
      <c r="F139" s="296">
        <f>(((1-'5.Closing Stock &amp; W Capital'!$D$17)*D59)+('5.Closing Stock &amp; W Capital'!$D$17*C59))*$C139*F$133</f>
        <v>7370927.5605249377</v>
      </c>
      <c r="G139" s="296">
        <f>(((1-'5.Closing Stock &amp; W Capital'!$D$17)*E59)+('5.Closing Stock &amp; W Capital'!$D$17*D59))*$C139*G$133</f>
        <v>8387128.6614424987</v>
      </c>
      <c r="H139" s="296">
        <f>(((1-'5.Closing Stock &amp; W Capital'!$D$17)*F59)+('5.Closing Stock &amp; W Capital'!$D$17*E59))*$C139*H$133</f>
        <v>9486522.5535505004</v>
      </c>
      <c r="I139" s="296">
        <f>(((1-'5.Closing Stock &amp; W Capital'!$D$17)*G59)+('5.Closing Stock &amp; W Capital'!$D$17*F59))*$C139*I$133</f>
        <v>10674888.013215698</v>
      </c>
      <c r="J139" s="296">
        <f>(((1-'5.Closing Stock &amp; W Capital'!$D$17)*H59)+('5.Closing Stock &amp; W Capital'!$D$17*G59))*$C139*J$133</f>
        <v>11958373.712463541</v>
      </c>
      <c r="K139" s="27"/>
      <c r="L139" s="27"/>
    </row>
    <row r="140" spans="1:12" ht="14.25" customHeight="1">
      <c r="A140" s="98" t="str">
        <f>A61</f>
        <v>Green Gram/ Moong</v>
      </c>
      <c r="B140" s="98" t="s">
        <v>637</v>
      </c>
      <c r="C140" s="56">
        <v>6500</v>
      </c>
      <c r="D140" s="296">
        <f>((1-'5.Closing Stock &amp; W Capital'!$D$17)*'13.Facility 2 Cleaning &amp; Gradin'!B61)*$C140*D$133</f>
        <v>2657475.3773749992</v>
      </c>
      <c r="E140" s="296">
        <f>(((1-'5.Closing Stock &amp; W Capital'!$D$17)*C61)+('5.Closing Stock &amp; W Capital'!$D$17*B61))*$C140*E$133</f>
        <v>3216244.5422493746</v>
      </c>
      <c r="F140" s="296">
        <f>(((1-'5.Closing Stock &amp; W Capital'!$D$17)*D61)+('5.Closing Stock &amp; W Capital'!$D$17*C61))*$C140*F$133</f>
        <v>3685463.7802624688</v>
      </c>
      <c r="G140" s="296">
        <f>(((1-'5.Closing Stock &amp; W Capital'!$D$17)*E61)+('5.Closing Stock &amp; W Capital'!$D$17*D61))*$C140*G$133</f>
        <v>4193564.3307212493</v>
      </c>
      <c r="H140" s="296">
        <f>(((1-'5.Closing Stock &amp; W Capital'!$D$17)*F61)+('5.Closing Stock &amp; W Capital'!$D$17*E61))*$C140*H$133</f>
        <v>4743261.2767752502</v>
      </c>
      <c r="I140" s="296">
        <f>(((1-'5.Closing Stock &amp; W Capital'!$D$17)*G61)+('5.Closing Stock &amp; W Capital'!$D$17*F61))*$C140*I$133</f>
        <v>5337444.0066078492</v>
      </c>
      <c r="J140" s="296">
        <f>(((1-'5.Closing Stock &amp; W Capital'!$D$17)*H61)+('5.Closing Stock &amp; W Capital'!$D$17*G61))*$C140*J$133</f>
        <v>5979186.8562317705</v>
      </c>
    </row>
    <row r="141" spans="1:12" ht="14.25" customHeight="1">
      <c r="A141" s="98" t="str">
        <f>A63</f>
        <v>Black Gram/Udid</v>
      </c>
      <c r="B141" s="98" t="s">
        <v>637</v>
      </c>
      <c r="C141" s="56">
        <v>6500</v>
      </c>
      <c r="D141" s="296">
        <f>((1-'5.Closing Stock &amp; W Capital'!$D$17)*'13.Facility 2 Cleaning &amp; Gradin'!B63)*$C141*D$133</f>
        <v>2657475.3773749992</v>
      </c>
      <c r="E141" s="296">
        <f>(((1-'5.Closing Stock &amp; W Capital'!$D$17)*C63)+('5.Closing Stock &amp; W Capital'!$D$17*B63))*$C141*E$133</f>
        <v>3216244.5422493746</v>
      </c>
      <c r="F141" s="296">
        <f>(((1-'5.Closing Stock &amp; W Capital'!$D$17)*D63)+('5.Closing Stock &amp; W Capital'!$D$17*C63))*$C141*F$133</f>
        <v>3685463.7802624688</v>
      </c>
      <c r="G141" s="296">
        <f>(((1-'5.Closing Stock &amp; W Capital'!$D$17)*E63)+('5.Closing Stock &amp; W Capital'!$D$17*D63))*$C141*G$133</f>
        <v>4193564.3307212493</v>
      </c>
      <c r="H141" s="296">
        <f>(((1-'5.Closing Stock &amp; W Capital'!$D$17)*F63)+('5.Closing Stock &amp; W Capital'!$D$17*E63))*$C141*H$133</f>
        <v>4743261.2767752502</v>
      </c>
      <c r="I141" s="296">
        <f>(((1-'5.Closing Stock &amp; W Capital'!$D$17)*G63)+('5.Closing Stock &amp; W Capital'!$D$17*F63))*$C141*I$133</f>
        <v>5337444.0066078492</v>
      </c>
      <c r="J141" s="296">
        <f>(((1-'5.Closing Stock &amp; W Capital'!$D$17)*H63)+('5.Closing Stock &amp; W Capital'!$D$17*G63))*$C141*J$133</f>
        <v>5979186.8562317705</v>
      </c>
    </row>
    <row r="142" spans="1:12" ht="14.25" customHeight="1">
      <c r="A142" s="98" t="str">
        <f>A65</f>
        <v>Bengal Gram/Channa</v>
      </c>
      <c r="B142" s="98" t="s">
        <v>637</v>
      </c>
      <c r="C142" s="56">
        <v>5500</v>
      </c>
      <c r="D142" s="296">
        <f>((1-'5.Closing Stock &amp; W Capital'!$D$17)*'13.Facility 2 Cleaning &amp; Gradin'!B65)*$C142*D$133</f>
        <v>4625759.3381999983</v>
      </c>
      <c r="E142" s="296">
        <f>(((1-'5.Closing Stock &amp; W Capital'!$D$17)*C65)+('5.Closing Stock &amp; W Capital'!$D$17*B65))*$C142*E$133</f>
        <v>5598386.1043109987</v>
      </c>
      <c r="F142" s="296">
        <f>(((1-'5.Closing Stock &amp; W Capital'!$D$17)*D65)+('5.Closing Stock &amp; W Capital'!$D$17*C65))*$C142*F$133</f>
        <v>6415136.9537755484</v>
      </c>
      <c r="G142" s="296">
        <f>(((1-'5.Closing Stock &amp; W Capital'!$D$17)*E65)+('5.Closing Stock &amp; W Capital'!$D$17*D65))*$C142*G$133</f>
        <v>7299566.9229257768</v>
      </c>
      <c r="H142" s="296">
        <f>(((1-'5.Closing Stock &amp; W Capital'!$D$17)*F65)+('5.Closing Stock &amp; W Capital'!$D$17*E65))*$C142*H$133</f>
        <v>8256402.04660659</v>
      </c>
      <c r="I142" s="296">
        <f>(((1-'5.Closing Stock &amp; W Capital'!$D$17)*G65)+('5.Closing Stock &amp; W Capital'!$D$17*F65))*$C142*I$133</f>
        <v>9290671.76534817</v>
      </c>
      <c r="J142" s="296">
        <f>(((1-'5.Closing Stock &amp; W Capital'!$D$17)*H65)+('5.Closing Stock &amp; W Capital'!$D$17*G65))*$C142*J$133</f>
        <v>10407727.450847389</v>
      </c>
    </row>
    <row r="143" spans="1:12" ht="14.25" customHeight="1">
      <c r="A143" s="98" t="s">
        <v>667</v>
      </c>
      <c r="B143" s="56" t="str">
        <f>B142</f>
        <v>Quintals</v>
      </c>
      <c r="C143" s="56">
        <v>80</v>
      </c>
      <c r="D143" s="296">
        <f t="shared" ref="D143:J143" si="32">B35*$C$143*D133</f>
        <v>3191261.1120000007</v>
      </c>
      <c r="E143" s="296">
        <f t="shared" si="32"/>
        <v>3705464.3043600009</v>
      </c>
      <c r="F143" s="296">
        <f t="shared" si="32"/>
        <v>4263109.6631760001</v>
      </c>
      <c r="G143" s="296">
        <f t="shared" si="32"/>
        <v>4867255.897112702</v>
      </c>
      <c r="H143" s="296">
        <f t="shared" si="32"/>
        <v>5521158.9802851323</v>
      </c>
      <c r="I143" s="296">
        <f t="shared" si="32"/>
        <v>6228284.2320320252</v>
      </c>
      <c r="J143" s="296">
        <f t="shared" si="32"/>
        <v>6992319.1115028933</v>
      </c>
    </row>
    <row r="144" spans="1:12" ht="14.25" customHeight="1">
      <c r="A144" s="98" t="s">
        <v>396</v>
      </c>
      <c r="B144" s="98"/>
      <c r="C144" s="98"/>
      <c r="D144" s="311">
        <f t="shared" ref="D144:J144" si="33">SUM(D138:D143)</f>
        <v>25323936.622074995</v>
      </c>
      <c r="E144" s="311">
        <f t="shared" si="33"/>
        <v>30491826.05984287</v>
      </c>
      <c r="F144" s="311">
        <f t="shared" si="33"/>
        <v>34957344.743260145</v>
      </c>
      <c r="G144" s="311">
        <f t="shared" si="33"/>
        <v>39793185.729869537</v>
      </c>
      <c r="H144" s="311">
        <f t="shared" si="33"/>
        <v>45025217.453281716</v>
      </c>
      <c r="I144" s="311">
        <f t="shared" si="33"/>
        <v>50680969.384710439</v>
      </c>
      <c r="J144" s="311">
        <f t="shared" si="33"/>
        <v>56789733.465648837</v>
      </c>
    </row>
    <row r="145" spans="1:10" ht="14.25" customHeight="1">
      <c r="A145" s="56"/>
      <c r="B145" s="56"/>
      <c r="C145" s="56"/>
      <c r="D145" s="296"/>
      <c r="E145" s="296"/>
      <c r="F145" s="296"/>
      <c r="G145" s="296"/>
      <c r="H145" s="296"/>
      <c r="I145" s="296"/>
      <c r="J145" s="296"/>
    </row>
    <row r="146" spans="1:10" ht="14.25" customHeight="1">
      <c r="A146" s="98" t="s">
        <v>636</v>
      </c>
      <c r="B146" s="98"/>
      <c r="C146" s="98"/>
      <c r="D146" s="296"/>
      <c r="E146" s="296"/>
      <c r="F146" s="296"/>
      <c r="G146" s="296"/>
      <c r="H146" s="296"/>
      <c r="I146" s="296"/>
      <c r="J146" s="296"/>
    </row>
    <row r="147" spans="1:10" ht="14.25" customHeight="1">
      <c r="A147" s="98" t="s">
        <v>404</v>
      </c>
      <c r="B147" s="98"/>
      <c r="C147" s="56"/>
      <c r="D147" s="296"/>
      <c r="E147" s="296"/>
      <c r="F147" s="296"/>
      <c r="G147" s="296"/>
      <c r="H147" s="296"/>
      <c r="I147" s="296"/>
      <c r="J147" s="296"/>
    </row>
    <row r="148" spans="1:10" ht="14.25" customHeight="1">
      <c r="A148" s="98" t="str">
        <f t="shared" ref="A148:A152" si="34">A138</f>
        <v>Soybean</v>
      </c>
      <c r="B148" s="56" t="s">
        <v>637</v>
      </c>
      <c r="C148" s="56">
        <v>5000</v>
      </c>
      <c r="D148" s="97">
        <f t="shared" ref="D148:J148" si="35">B46*$C$148*D133</f>
        <v>6784407.4999999991</v>
      </c>
      <c r="E148" s="97">
        <f t="shared" si="35"/>
        <v>7835990.6625000006</v>
      </c>
      <c r="F148" s="97">
        <f t="shared" si="35"/>
        <v>8975771.1224999987</v>
      </c>
      <c r="G148" s="97">
        <f t="shared" si="35"/>
        <v>10209939.651843751</v>
      </c>
      <c r="H148" s="97">
        <f t="shared" si="35"/>
        <v>11545085.606315628</v>
      </c>
      <c r="I148" s="97">
        <f t="shared" si="35"/>
        <v>12988221.307105081</v>
      </c>
      <c r="J148" s="97">
        <f t="shared" si="35"/>
        <v>14546807.863957692</v>
      </c>
    </row>
    <row r="149" spans="1:10" ht="14.25" customHeight="1">
      <c r="A149" s="98" t="str">
        <f t="shared" si="34"/>
        <v>Red Gram/Tur</v>
      </c>
      <c r="B149" s="56" t="s">
        <v>637</v>
      </c>
      <c r="C149" s="56">
        <v>6000</v>
      </c>
      <c r="D149" s="97">
        <f t="shared" ref="D149:J149" si="36">B47*$C$149*D133</f>
        <v>5324045.9999999991</v>
      </c>
      <c r="E149" s="97">
        <f t="shared" si="36"/>
        <v>6149273.129999999</v>
      </c>
      <c r="F149" s="97">
        <f t="shared" si="36"/>
        <v>7043712.8579999991</v>
      </c>
      <c r="G149" s="97">
        <f t="shared" si="36"/>
        <v>8012223.3759750007</v>
      </c>
      <c r="H149" s="97">
        <f t="shared" si="36"/>
        <v>9059975.6636025012</v>
      </c>
      <c r="I149" s="97">
        <f t="shared" si="36"/>
        <v>10192472.621552816</v>
      </c>
      <c r="J149" s="97">
        <f t="shared" si="36"/>
        <v>11415569.336139154</v>
      </c>
    </row>
    <row r="150" spans="1:10" ht="14.25" customHeight="1">
      <c r="A150" s="98" t="str">
        <f t="shared" si="34"/>
        <v>Green Gram/ Moong</v>
      </c>
      <c r="B150" s="56" t="s">
        <v>637</v>
      </c>
      <c r="C150" s="56">
        <v>6000</v>
      </c>
      <c r="D150" s="97">
        <f t="shared" ref="D150:J150" si="37">B49*$C$150*D133</f>
        <v>2662022.9999999995</v>
      </c>
      <c r="E150" s="97">
        <f t="shared" si="37"/>
        <v>3074636.5649999995</v>
      </c>
      <c r="F150" s="97">
        <f t="shared" si="37"/>
        <v>3521856.4289999995</v>
      </c>
      <c r="G150" s="97">
        <f t="shared" si="37"/>
        <v>4006111.6879875003</v>
      </c>
      <c r="H150" s="97">
        <f t="shared" si="37"/>
        <v>4529987.8318012506</v>
      </c>
      <c r="I150" s="97">
        <f t="shared" si="37"/>
        <v>5096236.3107764078</v>
      </c>
      <c r="J150" s="97">
        <f t="shared" si="37"/>
        <v>5707784.6680695768</v>
      </c>
    </row>
    <row r="151" spans="1:10" ht="14.25" customHeight="1">
      <c r="A151" s="98" t="str">
        <f t="shared" si="34"/>
        <v>Black Gram/Udid</v>
      </c>
      <c r="B151" s="56" t="s">
        <v>637</v>
      </c>
      <c r="C151" s="56">
        <v>6000</v>
      </c>
      <c r="D151" s="97">
        <f t="shared" ref="D151:J151" si="38">B51*$C$151*D133</f>
        <v>2662022.9999999995</v>
      </c>
      <c r="E151" s="97">
        <f t="shared" si="38"/>
        <v>3074636.5649999995</v>
      </c>
      <c r="F151" s="97">
        <f t="shared" si="38"/>
        <v>3521856.4289999995</v>
      </c>
      <c r="G151" s="97">
        <f t="shared" si="38"/>
        <v>4006111.6879875003</v>
      </c>
      <c r="H151" s="97">
        <f t="shared" si="38"/>
        <v>4529987.8318012506</v>
      </c>
      <c r="I151" s="97">
        <f t="shared" si="38"/>
        <v>5096236.3107764078</v>
      </c>
      <c r="J151" s="97">
        <f t="shared" si="38"/>
        <v>5707784.6680695768</v>
      </c>
    </row>
    <row r="152" spans="1:10" ht="14.25" customHeight="1">
      <c r="A152" s="98" t="str">
        <f t="shared" si="34"/>
        <v>Bengal Gram/Channa</v>
      </c>
      <c r="B152" s="56" t="s">
        <v>637</v>
      </c>
      <c r="C152" s="97">
        <v>5000</v>
      </c>
      <c r="D152" s="97">
        <f t="shared" ref="D152:J152" si="39">B53*$C$152*D133</f>
        <v>4563467.9999999981</v>
      </c>
      <c r="E152" s="97">
        <f t="shared" si="39"/>
        <v>5270805.5399999991</v>
      </c>
      <c r="F152" s="97">
        <f t="shared" si="39"/>
        <v>6037468.1639999999</v>
      </c>
      <c r="G152" s="97">
        <f t="shared" si="39"/>
        <v>6867620.0365500003</v>
      </c>
      <c r="H152" s="97">
        <f t="shared" si="39"/>
        <v>7765693.4259450017</v>
      </c>
      <c r="I152" s="97">
        <f t="shared" si="39"/>
        <v>8736405.1041881274</v>
      </c>
      <c r="J152" s="97">
        <f t="shared" si="39"/>
        <v>9784773.7166907042</v>
      </c>
    </row>
    <row r="153" spans="1:10" ht="14.25" customHeight="1">
      <c r="A153" s="56" t="s">
        <v>668</v>
      </c>
      <c r="B153" s="56">
        <v>10</v>
      </c>
      <c r="C153" s="56">
        <v>300</v>
      </c>
      <c r="D153" s="97">
        <f t="shared" ref="D153:J153" si="40">B12*$B$153*$C$153*D133</f>
        <v>415528.79062499997</v>
      </c>
      <c r="E153" s="97">
        <f t="shared" si="40"/>
        <v>482482.33129687508</v>
      </c>
      <c r="F153" s="97">
        <f t="shared" si="40"/>
        <v>555092.40405937505</v>
      </c>
      <c r="G153" s="97">
        <f t="shared" si="40"/>
        <v>633757.27826988301</v>
      </c>
      <c r="H153" s="97">
        <f t="shared" si="40"/>
        <v>718900.90889129322</v>
      </c>
      <c r="I153" s="97">
        <f t="shared" si="40"/>
        <v>810974.5093791699</v>
      </c>
      <c r="J153" s="97">
        <f t="shared" si="40"/>
        <v>910458.21764360601</v>
      </c>
    </row>
    <row r="154" spans="1:10" ht="14.25" customHeight="1">
      <c r="A154" s="56" t="s">
        <v>639</v>
      </c>
      <c r="B154" s="56">
        <f>25*0.746*8</f>
        <v>149.19999999999999</v>
      </c>
      <c r="C154" s="56">
        <v>8</v>
      </c>
      <c r="D154" s="97">
        <f t="shared" ref="D154:J154" si="41">B12*$B$154*$C$154*D133</f>
        <v>165325.05482999998</v>
      </c>
      <c r="E154" s="97">
        <f t="shared" si="41"/>
        <v>191963.63687865</v>
      </c>
      <c r="F154" s="97">
        <f t="shared" si="41"/>
        <v>220852.76449509</v>
      </c>
      <c r="G154" s="97">
        <f t="shared" si="41"/>
        <v>252150.89578097747</v>
      </c>
      <c r="H154" s="97">
        <f t="shared" si="41"/>
        <v>286026.70828421589</v>
      </c>
      <c r="I154" s="97">
        <f t="shared" si="41"/>
        <v>322659.72479832574</v>
      </c>
      <c r="J154" s="97">
        <f t="shared" si="41"/>
        <v>362240.97619313601</v>
      </c>
    </row>
    <row r="155" spans="1:10" ht="14.25" customHeight="1">
      <c r="A155" s="249" t="s">
        <v>669</v>
      </c>
      <c r="B155" s="249"/>
      <c r="C155" s="249">
        <v>30</v>
      </c>
      <c r="D155" s="97">
        <f t="shared" ref="D155:J155" si="42">SUM(B58:B65)*$C$155*D133</f>
        <v>117687.88160999998</v>
      </c>
      <c r="E155" s="97">
        <f t="shared" si="42"/>
        <v>135929.50325954999</v>
      </c>
      <c r="F155" s="97">
        <f t="shared" si="42"/>
        <v>155701.06737002995</v>
      </c>
      <c r="G155" s="97">
        <f t="shared" si="42"/>
        <v>177109.96413340917</v>
      </c>
      <c r="H155" s="97">
        <f t="shared" si="42"/>
        <v>200270.49790470113</v>
      </c>
      <c r="I155" s="97">
        <f t="shared" si="42"/>
        <v>225304.3101427888</v>
      </c>
      <c r="J155" s="97">
        <f t="shared" si="42"/>
        <v>252340.82735992345</v>
      </c>
    </row>
    <row r="156" spans="1:10" ht="14.25" customHeight="1">
      <c r="A156" s="56" t="s">
        <v>670</v>
      </c>
      <c r="B156" s="64"/>
      <c r="C156" s="64">
        <v>40</v>
      </c>
      <c r="D156" s="97">
        <f t="shared" ref="D156:J156" si="43">SUM(B58:B65)*$C$156*D133</f>
        <v>156917.17547999998</v>
      </c>
      <c r="E156" s="97">
        <f t="shared" si="43"/>
        <v>181239.33767939999</v>
      </c>
      <c r="F156" s="97">
        <f t="shared" si="43"/>
        <v>207601.42316003994</v>
      </c>
      <c r="G156" s="97">
        <f t="shared" si="43"/>
        <v>236146.61884454556</v>
      </c>
      <c r="H156" s="97">
        <f t="shared" si="43"/>
        <v>267027.33053960145</v>
      </c>
      <c r="I156" s="97">
        <f t="shared" si="43"/>
        <v>300405.74685705174</v>
      </c>
      <c r="J156" s="97">
        <f t="shared" si="43"/>
        <v>336454.43647989794</v>
      </c>
    </row>
    <row r="157" spans="1:10" ht="14.25" customHeight="1">
      <c r="A157" s="64"/>
      <c r="B157" s="64"/>
      <c r="C157" s="64"/>
      <c r="D157" s="144"/>
      <c r="E157" s="64"/>
      <c r="F157" s="64"/>
      <c r="G157" s="64"/>
      <c r="H157" s="64"/>
      <c r="I157" s="64"/>
      <c r="J157" s="64"/>
    </row>
    <row r="158" spans="1:10" ht="14.25" customHeight="1">
      <c r="A158" s="64"/>
      <c r="B158" s="64"/>
      <c r="C158" s="64"/>
      <c r="D158" s="312"/>
      <c r="E158" s="64"/>
      <c r="F158" s="64"/>
      <c r="G158" s="64"/>
      <c r="H158" s="64"/>
      <c r="I158" s="64"/>
      <c r="J158" s="64"/>
    </row>
    <row r="159" spans="1:10" ht="14.25" customHeight="1">
      <c r="A159" s="64"/>
      <c r="B159" s="64"/>
      <c r="C159" s="64"/>
      <c r="D159" s="64"/>
      <c r="E159" s="64"/>
      <c r="F159" s="64"/>
      <c r="G159" s="64"/>
      <c r="H159" s="64"/>
      <c r="I159" s="64"/>
      <c r="J159" s="64"/>
    </row>
    <row r="160" spans="1:10" ht="14.25" customHeight="1">
      <c r="A160" s="97" t="s">
        <v>644</v>
      </c>
      <c r="B160" s="97"/>
      <c r="C160" s="97"/>
      <c r="D160" s="97"/>
      <c r="E160" s="97">
        <f>'5.Closing Stock &amp; W Capital'!F8</f>
        <v>404047.49512724992</v>
      </c>
      <c r="F160" s="97">
        <f>'5.Closing Stock &amp; W Capital'!G8</f>
        <v>466852.84570572368</v>
      </c>
      <c r="G160" s="97">
        <f>'5.Closing Stock &amp; W Capital'!H8</f>
        <v>534928.61260422668</v>
      </c>
      <c r="H160" s="97">
        <f>'5.Closing Stock &amp; W Capital'!I8</f>
        <v>608644.82407831587</v>
      </c>
      <c r="I160" s="97">
        <f>'5.Closing Stock &amp; W Capital'!J8</f>
        <v>688395.33516830334</v>
      </c>
      <c r="J160" s="97">
        <f>'5.Closing Stock &amp; W Capital'!K8</f>
        <v>774599.28530709352</v>
      </c>
    </row>
    <row r="161" spans="1:10" ht="14.25" customHeight="1">
      <c r="A161" s="97" t="s">
        <v>645</v>
      </c>
      <c r="B161" s="97"/>
      <c r="C161" s="97"/>
      <c r="D161" s="97">
        <f>'5.Closing Stock &amp; W Capital'!E17</f>
        <v>404047.49512724992</v>
      </c>
      <c r="E161" s="97">
        <f>'5.Closing Stock &amp; W Capital'!F17</f>
        <v>466852.84570572368</v>
      </c>
      <c r="F161" s="97">
        <f>'5.Closing Stock &amp; W Capital'!G17</f>
        <v>534928.61260422668</v>
      </c>
      <c r="G161" s="97">
        <f>'5.Closing Stock &amp; W Capital'!H17</f>
        <v>608644.82407831587</v>
      </c>
      <c r="H161" s="97">
        <f>'5.Closing Stock &amp; W Capital'!I17</f>
        <v>688395.33516830334</v>
      </c>
      <c r="I161" s="97">
        <f>'5.Closing Stock &amp; W Capital'!J17</f>
        <v>774599.28530709352</v>
      </c>
      <c r="J161" s="97">
        <f>'5.Closing Stock &amp; W Capital'!K17</f>
        <v>867702.64212184213</v>
      </c>
    </row>
    <row r="162" spans="1:10" ht="14.25" customHeight="1">
      <c r="A162" s="97"/>
      <c r="B162" s="97"/>
      <c r="C162" s="97"/>
      <c r="D162" s="97"/>
      <c r="E162" s="97"/>
      <c r="F162" s="97"/>
      <c r="G162" s="97"/>
      <c r="H162" s="97"/>
      <c r="I162" s="97"/>
      <c r="J162" s="97"/>
    </row>
    <row r="163" spans="1:10" ht="14.25" customHeight="1">
      <c r="A163" s="99" t="s">
        <v>405</v>
      </c>
      <c r="B163" s="97"/>
      <c r="C163" s="97"/>
      <c r="D163" s="99">
        <f t="shared" ref="D163:J163" si="44">SUM(D148:D160)-D161</f>
        <v>22447378.907417741</v>
      </c>
      <c r="E163" s="99">
        <f t="shared" si="44"/>
        <v>26334151.921036001</v>
      </c>
      <c r="F163" s="99">
        <f t="shared" si="44"/>
        <v>30171836.894686028</v>
      </c>
      <c r="G163" s="99">
        <f t="shared" si="44"/>
        <v>34327454.98589848</v>
      </c>
      <c r="H163" s="99">
        <f t="shared" si="44"/>
        <v>38823205.293995447</v>
      </c>
      <c r="I163" s="99">
        <f t="shared" si="44"/>
        <v>43682711.995437391</v>
      </c>
      <c r="J163" s="99">
        <f t="shared" si="44"/>
        <v>48931111.353788517</v>
      </c>
    </row>
    <row r="164" spans="1:10" ht="14.25" customHeight="1">
      <c r="A164" s="56"/>
      <c r="B164" s="56"/>
      <c r="C164" s="56"/>
      <c r="D164" s="56"/>
      <c r="E164" s="56"/>
      <c r="F164" s="56"/>
      <c r="G164" s="56"/>
      <c r="H164" s="56"/>
      <c r="I164" s="56"/>
      <c r="J164" s="56"/>
    </row>
    <row r="165" spans="1:10" ht="14.25" customHeight="1">
      <c r="A165" s="313" t="s">
        <v>406</v>
      </c>
      <c r="B165" s="313"/>
      <c r="C165" s="313"/>
      <c r="D165" s="99"/>
      <c r="E165" s="99"/>
      <c r="F165" s="99"/>
      <c r="G165" s="99"/>
      <c r="H165" s="99"/>
      <c r="I165" s="99"/>
      <c r="J165" s="99"/>
    </row>
    <row r="166" spans="1:10" ht="14.25" customHeight="1">
      <c r="A166" s="56" t="s">
        <v>646</v>
      </c>
      <c r="B166" s="56">
        <v>1</v>
      </c>
      <c r="C166" s="97">
        <v>12000</v>
      </c>
      <c r="D166" s="97">
        <f t="shared" ref="D166:J166" si="45">$B$166*$C$166*D133*12</f>
        <v>144000</v>
      </c>
      <c r="E166" s="97">
        <f t="shared" si="45"/>
        <v>151200</v>
      </c>
      <c r="F166" s="97">
        <f t="shared" si="45"/>
        <v>158760</v>
      </c>
      <c r="G166" s="97">
        <f t="shared" si="45"/>
        <v>166698.00000000003</v>
      </c>
      <c r="H166" s="97">
        <f t="shared" si="45"/>
        <v>175032.90000000002</v>
      </c>
      <c r="I166" s="97">
        <f t="shared" si="45"/>
        <v>183784.54500000004</v>
      </c>
      <c r="J166" s="97">
        <f t="shared" si="45"/>
        <v>192973.77225000004</v>
      </c>
    </row>
    <row r="167" spans="1:10" ht="14.25" customHeight="1">
      <c r="A167" s="56" t="s">
        <v>647</v>
      </c>
      <c r="B167" s="56">
        <v>1</v>
      </c>
      <c r="C167" s="97">
        <v>8000</v>
      </c>
      <c r="D167" s="97">
        <f t="shared" ref="D167:J167" si="46">$B$167*$C$167*D133*12</f>
        <v>96000</v>
      </c>
      <c r="E167" s="97">
        <f t="shared" si="46"/>
        <v>100800</v>
      </c>
      <c r="F167" s="97">
        <f t="shared" si="46"/>
        <v>105840</v>
      </c>
      <c r="G167" s="97">
        <f t="shared" si="46"/>
        <v>111132.00000000003</v>
      </c>
      <c r="H167" s="97">
        <f t="shared" si="46"/>
        <v>116688.6</v>
      </c>
      <c r="I167" s="97">
        <f t="shared" si="46"/>
        <v>122523.03000000003</v>
      </c>
      <c r="J167" s="97">
        <f t="shared" si="46"/>
        <v>128649.18150000004</v>
      </c>
    </row>
    <row r="168" spans="1:10" ht="14.25" customHeight="1">
      <c r="A168" s="56"/>
      <c r="B168" s="56"/>
      <c r="C168" s="97"/>
      <c r="D168" s="97"/>
      <c r="E168" s="97"/>
      <c r="F168" s="97"/>
      <c r="G168" s="97"/>
      <c r="H168" s="97"/>
      <c r="I168" s="97"/>
      <c r="J168" s="97"/>
    </row>
    <row r="169" spans="1:10" ht="14.25" customHeight="1">
      <c r="A169" s="56"/>
      <c r="B169" s="56"/>
      <c r="C169" s="97"/>
      <c r="D169" s="97"/>
      <c r="E169" s="97"/>
      <c r="F169" s="97"/>
      <c r="G169" s="97"/>
      <c r="H169" s="97"/>
      <c r="I169" s="97"/>
      <c r="J169" s="97"/>
    </row>
    <row r="170" spans="1:10" ht="14.25" customHeight="1">
      <c r="A170" s="98" t="s">
        <v>406</v>
      </c>
      <c r="B170" s="98"/>
      <c r="C170" s="98"/>
      <c r="D170" s="99">
        <f t="shared" ref="D170:J170" si="47">SUM(D166:D168)</f>
        <v>240000</v>
      </c>
      <c r="E170" s="99">
        <f t="shared" si="47"/>
        <v>252000</v>
      </c>
      <c r="F170" s="99">
        <f t="shared" si="47"/>
        <v>264600</v>
      </c>
      <c r="G170" s="99">
        <f t="shared" si="47"/>
        <v>277830.00000000006</v>
      </c>
      <c r="H170" s="99">
        <f t="shared" si="47"/>
        <v>291721.5</v>
      </c>
      <c r="I170" s="99">
        <f t="shared" si="47"/>
        <v>306307.57500000007</v>
      </c>
      <c r="J170" s="99">
        <f t="shared" si="47"/>
        <v>321622.9537500001</v>
      </c>
    </row>
    <row r="171" spans="1:10" ht="14.25" customHeight="1">
      <c r="A171" s="313" t="s">
        <v>671</v>
      </c>
      <c r="B171" s="313"/>
      <c r="C171" s="313"/>
      <c r="D171" s="99">
        <f t="shared" ref="D171:J171" si="48">D163+D170</f>
        <v>22687378.907417741</v>
      </c>
      <c r="E171" s="99">
        <f t="shared" si="48"/>
        <v>26586151.921036001</v>
      </c>
      <c r="F171" s="99">
        <f t="shared" si="48"/>
        <v>30436436.894686028</v>
      </c>
      <c r="G171" s="99">
        <f t="shared" si="48"/>
        <v>34605284.98589848</v>
      </c>
      <c r="H171" s="99">
        <f t="shared" si="48"/>
        <v>39114926.793995447</v>
      </c>
      <c r="I171" s="99">
        <f t="shared" si="48"/>
        <v>43989019.570437394</v>
      </c>
      <c r="J171" s="99">
        <f t="shared" si="48"/>
        <v>49252734.307538517</v>
      </c>
    </row>
    <row r="172" spans="1:10" ht="14.25" customHeight="1">
      <c r="A172" s="56"/>
      <c r="B172" s="56"/>
      <c r="C172" s="56"/>
      <c r="D172" s="97"/>
      <c r="E172" s="97"/>
      <c r="F172" s="97"/>
      <c r="G172" s="97"/>
      <c r="H172" s="97"/>
      <c r="I172" s="97"/>
      <c r="J172" s="97"/>
    </row>
    <row r="173" spans="1:10" ht="14.25" customHeight="1">
      <c r="A173" s="98" t="s">
        <v>672</v>
      </c>
      <c r="B173" s="98"/>
      <c r="C173" s="98"/>
      <c r="D173" s="99">
        <f t="shared" ref="D173:J173" si="49">D144-D171</f>
        <v>2636557.7146572545</v>
      </c>
      <c r="E173" s="99">
        <f t="shared" si="49"/>
        <v>3905674.1388068683</v>
      </c>
      <c r="F173" s="99">
        <f t="shared" si="49"/>
        <v>4520907.8485741168</v>
      </c>
      <c r="G173" s="99">
        <f t="shared" si="49"/>
        <v>5187900.7439710572</v>
      </c>
      <c r="H173" s="99">
        <f t="shared" si="49"/>
        <v>5910290.6592862681</v>
      </c>
      <c r="I173" s="99">
        <f t="shared" si="49"/>
        <v>6691949.8142730445</v>
      </c>
      <c r="J173" s="99">
        <f t="shared" si="49"/>
        <v>7536999.1581103206</v>
      </c>
    </row>
    <row r="174" spans="1:10" ht="14.25" customHeight="1">
      <c r="A174" s="246"/>
      <c r="B174" s="246"/>
      <c r="C174" s="246"/>
      <c r="D174" s="92"/>
      <c r="E174" s="92"/>
      <c r="F174" s="92"/>
      <c r="G174" s="92"/>
      <c r="H174" s="92"/>
      <c r="I174" s="92"/>
      <c r="J174" s="92"/>
    </row>
    <row r="175" spans="1:10" ht="14.25" customHeight="1">
      <c r="A175" s="92"/>
      <c r="B175" s="92"/>
      <c r="C175" s="92"/>
      <c r="D175" s="92"/>
      <c r="E175" s="92"/>
      <c r="F175" s="92"/>
      <c r="G175" s="92"/>
      <c r="H175" s="92"/>
      <c r="I175" s="92"/>
      <c r="J175" s="92"/>
    </row>
    <row r="176" spans="1:10" ht="14.25" customHeight="1">
      <c r="A176" s="92"/>
      <c r="B176" s="92"/>
      <c r="C176" s="92"/>
      <c r="D176" s="92"/>
      <c r="E176" s="92"/>
      <c r="F176" s="92"/>
      <c r="G176" s="92"/>
      <c r="H176" s="92"/>
      <c r="I176" s="92"/>
      <c r="J176" s="92"/>
    </row>
    <row r="177" spans="1:10" ht="14.25" customHeight="1">
      <c r="A177" s="362" t="s">
        <v>673</v>
      </c>
      <c r="B177" s="360"/>
      <c r="C177" s="360"/>
      <c r="D177" s="360"/>
      <c r="E177" s="360"/>
      <c r="F177" s="360"/>
      <c r="G177" s="360"/>
      <c r="H177" s="360"/>
      <c r="I177" s="360"/>
      <c r="J177" s="360"/>
    </row>
    <row r="178" spans="1:10" ht="14.25" customHeight="1"/>
    <row r="179" spans="1:10" ht="14.25" customHeight="1">
      <c r="A179" t="s">
        <v>361</v>
      </c>
    </row>
    <row r="180" spans="1:10" ht="14.25" customHeight="1">
      <c r="A180">
        <v>1</v>
      </c>
      <c r="B180" t="s">
        <v>652</v>
      </c>
    </row>
    <row r="181" spans="1:10" ht="14.25" customHeight="1">
      <c r="A181">
        <v>2</v>
      </c>
      <c r="B181" t="s">
        <v>653</v>
      </c>
    </row>
    <row r="182" spans="1:10" ht="14.25" customHeight="1">
      <c r="A182">
        <v>3</v>
      </c>
      <c r="B182" s="92" t="s">
        <v>654</v>
      </c>
    </row>
    <row r="183" spans="1:10" ht="14.25" customHeight="1"/>
    <row r="184" spans="1:10" ht="14.25" customHeight="1"/>
    <row r="185" spans="1:10" ht="14.25" customHeight="1">
      <c r="A185" t="s">
        <v>674</v>
      </c>
      <c r="B185" t="s">
        <v>675</v>
      </c>
    </row>
    <row r="186" spans="1:10" ht="14.25" customHeight="1">
      <c r="B186" t="s">
        <v>676</v>
      </c>
    </row>
  </sheetData>
  <mergeCells count="4">
    <mergeCell ref="A131:J131"/>
    <mergeCell ref="A3:H3"/>
    <mergeCell ref="A177:J177"/>
    <mergeCell ref="A4:H4"/>
  </mergeCells>
  <pageMargins left="0.7" right="0.7" top="0.75" bottom="0.75" header="0" footer="0"/>
  <pageSetup paperSize="9" orientation="portrait"/>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00"/>
  <sheetViews>
    <sheetView workbookViewId="0">
      <selection activeCell="L36" sqref="L36"/>
    </sheetView>
  </sheetViews>
  <sheetFormatPr defaultColWidth="14.42578125" defaultRowHeight="15" customHeight="1"/>
  <cols>
    <col min="1" max="1" width="30.42578125" customWidth="1"/>
    <col min="2" max="2" width="9.85546875" customWidth="1"/>
    <col min="3" max="3" width="10.42578125" customWidth="1"/>
    <col min="4" max="4" width="12.28515625" customWidth="1"/>
    <col min="5" max="8" width="10.42578125" customWidth="1"/>
    <col min="9" max="10" width="10.5703125" customWidth="1"/>
    <col min="11" max="11" width="8.7109375" customWidth="1"/>
  </cols>
  <sheetData>
    <row r="1" spans="1:10" ht="14.25" customHeight="1"/>
    <row r="2" spans="1:10" ht="14.25" customHeight="1">
      <c r="A2" s="359" t="s">
        <v>677</v>
      </c>
      <c r="B2" s="360"/>
      <c r="C2" s="360"/>
      <c r="D2" s="360"/>
      <c r="E2" s="360"/>
      <c r="F2" s="360"/>
      <c r="G2" s="360"/>
      <c r="H2" s="360"/>
    </row>
    <row r="3" spans="1:10" ht="14.25" customHeight="1">
      <c r="A3" s="359" t="s">
        <v>678</v>
      </c>
      <c r="B3" s="360"/>
      <c r="C3" s="360"/>
      <c r="D3" s="360"/>
      <c r="E3" s="360"/>
      <c r="F3" s="360"/>
      <c r="G3" s="360"/>
      <c r="H3" s="360"/>
    </row>
    <row r="4" spans="1:10" ht="14.25" customHeight="1">
      <c r="A4" s="92" t="s">
        <v>127</v>
      </c>
      <c r="B4" s="314">
        <v>1000</v>
      </c>
      <c r="C4" s="315" t="s">
        <v>679</v>
      </c>
      <c r="D4" s="315"/>
      <c r="E4" s="315"/>
      <c r="F4" s="315"/>
      <c r="G4" s="92"/>
      <c r="H4" s="92"/>
    </row>
    <row r="5" spans="1:10" ht="14.25" customHeight="1">
      <c r="A5" s="92"/>
      <c r="B5" s="306"/>
      <c r="C5" s="92"/>
      <c r="D5" s="92"/>
      <c r="E5" s="92"/>
      <c r="F5" s="92"/>
      <c r="G5" s="92"/>
      <c r="H5" s="92"/>
    </row>
    <row r="6" spans="1:10" ht="14.25" customHeight="1">
      <c r="A6" s="92" t="s">
        <v>680</v>
      </c>
      <c r="B6" s="307">
        <v>12</v>
      </c>
      <c r="C6" s="92"/>
      <c r="D6" s="307"/>
      <c r="E6" s="307"/>
      <c r="F6" s="92"/>
      <c r="G6" s="92"/>
      <c r="H6" s="92"/>
    </row>
    <row r="7" spans="1:10" ht="14.25" customHeight="1">
      <c r="A7" s="92"/>
      <c r="B7" s="92"/>
      <c r="C7" s="307"/>
      <c r="D7" s="307"/>
      <c r="E7" s="307"/>
      <c r="F7" s="92"/>
      <c r="G7" s="92"/>
      <c r="H7" s="92"/>
    </row>
    <row r="8" spans="1:10" ht="14.25" customHeight="1">
      <c r="A8" s="95" t="s">
        <v>82</v>
      </c>
      <c r="B8" s="96" t="s">
        <v>204</v>
      </c>
      <c r="C8" s="96" t="s">
        <v>205</v>
      </c>
      <c r="D8" s="96" t="s">
        <v>206</v>
      </c>
      <c r="E8" s="96" t="s">
        <v>207</v>
      </c>
      <c r="F8" s="96" t="s">
        <v>208</v>
      </c>
      <c r="G8" s="96" t="s">
        <v>209</v>
      </c>
      <c r="H8" s="96" t="s">
        <v>210</v>
      </c>
    </row>
    <row r="9" spans="1:10" ht="14.25" customHeight="1">
      <c r="A9" s="56" t="s">
        <v>681</v>
      </c>
      <c r="B9" s="178">
        <v>0.8</v>
      </c>
      <c r="C9" s="178">
        <f t="shared" ref="C9:F9" si="0">B9+5%</f>
        <v>0.85000000000000009</v>
      </c>
      <c r="D9" s="178">
        <f t="shared" si="0"/>
        <v>0.90000000000000013</v>
      </c>
      <c r="E9" s="178">
        <f t="shared" si="0"/>
        <v>0.95000000000000018</v>
      </c>
      <c r="F9" s="178">
        <f t="shared" si="0"/>
        <v>1.0000000000000002</v>
      </c>
      <c r="G9" s="178">
        <f t="shared" ref="G9:H9" si="1">F9</f>
        <v>1.0000000000000002</v>
      </c>
      <c r="H9" s="178">
        <f t="shared" si="1"/>
        <v>1.0000000000000002</v>
      </c>
    </row>
    <row r="10" spans="1:10" ht="14.25" customHeight="1">
      <c r="A10" s="98" t="s">
        <v>682</v>
      </c>
      <c r="B10" s="302">
        <f t="shared" ref="B10:H10" si="2">$B$4*B9*$B$6</f>
        <v>9600</v>
      </c>
      <c r="C10" s="302">
        <f t="shared" si="2"/>
        <v>10200.000000000002</v>
      </c>
      <c r="D10" s="302">
        <f t="shared" si="2"/>
        <v>10800.000000000002</v>
      </c>
      <c r="E10" s="302">
        <f t="shared" si="2"/>
        <v>11400.000000000004</v>
      </c>
      <c r="F10" s="302">
        <f t="shared" si="2"/>
        <v>12000.000000000004</v>
      </c>
      <c r="G10" s="302">
        <f t="shared" si="2"/>
        <v>12000.000000000004</v>
      </c>
      <c r="H10" s="302">
        <f t="shared" si="2"/>
        <v>12000.000000000004</v>
      </c>
    </row>
    <row r="11" spans="1:10" ht="14.25" customHeight="1"/>
    <row r="12" spans="1:10" ht="14.25" customHeight="1"/>
    <row r="13" spans="1:10" ht="14.25" customHeight="1"/>
    <row r="14" spans="1:10" ht="14.25" customHeight="1"/>
    <row r="15" spans="1:10" ht="14.25" customHeight="1">
      <c r="A15" s="359" t="s">
        <v>683</v>
      </c>
      <c r="B15" s="360"/>
      <c r="C15" s="360"/>
      <c r="D15" s="360"/>
      <c r="E15" s="360"/>
      <c r="F15" s="360"/>
      <c r="G15" s="360"/>
      <c r="H15" s="360"/>
      <c r="I15" s="360"/>
      <c r="J15" s="360"/>
    </row>
    <row r="16" spans="1:10" ht="14.25" customHeight="1">
      <c r="A16" s="30"/>
      <c r="B16" s="30"/>
      <c r="C16" s="30"/>
      <c r="D16" s="30"/>
      <c r="E16" s="30"/>
      <c r="F16" s="30"/>
      <c r="G16" s="30"/>
      <c r="H16" s="30"/>
    </row>
    <row r="17" spans="1:10" ht="14.25" customHeight="1">
      <c r="A17" s="92"/>
      <c r="B17" s="92"/>
      <c r="C17" s="92"/>
      <c r="D17" s="93">
        <v>1</v>
      </c>
      <c r="E17" s="94">
        <f t="shared" ref="E17:J17" si="3">(D17*5%)+D17</f>
        <v>1.05</v>
      </c>
      <c r="F17" s="94">
        <f t="shared" si="3"/>
        <v>1.1025</v>
      </c>
      <c r="G17" s="94">
        <f t="shared" si="3"/>
        <v>1.1576250000000001</v>
      </c>
      <c r="H17" s="94">
        <f t="shared" si="3"/>
        <v>1.2155062500000002</v>
      </c>
      <c r="I17" s="94">
        <f t="shared" si="3"/>
        <v>1.2762815625000004</v>
      </c>
      <c r="J17" s="94">
        <f t="shared" si="3"/>
        <v>1.3400956406250004</v>
      </c>
    </row>
    <row r="18" spans="1:10" ht="14.25" customHeight="1">
      <c r="A18" s="95" t="s">
        <v>201</v>
      </c>
      <c r="B18" s="95" t="s">
        <v>115</v>
      </c>
      <c r="C18" s="95" t="s">
        <v>129</v>
      </c>
      <c r="D18" s="96" t="s">
        <v>204</v>
      </c>
      <c r="E18" s="96" t="s">
        <v>205</v>
      </c>
      <c r="F18" s="96" t="s">
        <v>206</v>
      </c>
      <c r="G18" s="96" t="s">
        <v>207</v>
      </c>
      <c r="H18" s="96" t="s">
        <v>208</v>
      </c>
      <c r="I18" s="96" t="s">
        <v>209</v>
      </c>
      <c r="J18" s="96" t="s">
        <v>210</v>
      </c>
    </row>
    <row r="19" spans="1:10" ht="14.25" customHeight="1">
      <c r="A19" s="56"/>
      <c r="B19" s="56"/>
      <c r="C19" s="56"/>
      <c r="D19" s="56"/>
      <c r="E19" s="56"/>
      <c r="F19" s="56"/>
      <c r="G19" s="56"/>
      <c r="H19" s="56"/>
      <c r="I19" s="56"/>
      <c r="J19" s="56"/>
    </row>
    <row r="20" spans="1:10" ht="14.25" customHeight="1">
      <c r="A20" s="98" t="s">
        <v>396</v>
      </c>
      <c r="B20" s="98"/>
      <c r="C20" s="98"/>
      <c r="D20" s="56"/>
      <c r="E20" s="56"/>
      <c r="F20" s="56"/>
      <c r="G20" s="56"/>
      <c r="H20" s="56"/>
      <c r="I20" s="56"/>
      <c r="J20" s="56"/>
    </row>
    <row r="21" spans="1:10" ht="14.25" customHeight="1">
      <c r="A21" s="56" t="s">
        <v>684</v>
      </c>
      <c r="B21" s="56"/>
      <c r="C21" s="316">
        <v>120</v>
      </c>
      <c r="D21" s="97">
        <f t="shared" ref="D21:J21" si="4">B10*$C$21*D17</f>
        <v>1152000</v>
      </c>
      <c r="E21" s="97">
        <f t="shared" si="4"/>
        <v>1285200.0000000002</v>
      </c>
      <c r="F21" s="97">
        <f t="shared" si="4"/>
        <v>1428840.0000000002</v>
      </c>
      <c r="G21" s="97">
        <f t="shared" si="4"/>
        <v>1583631.0000000007</v>
      </c>
      <c r="H21" s="97">
        <f t="shared" si="4"/>
        <v>1750329.0000000009</v>
      </c>
      <c r="I21" s="97">
        <f t="shared" si="4"/>
        <v>1837845.4500000011</v>
      </c>
      <c r="J21" s="97">
        <f t="shared" si="4"/>
        <v>1929737.7225000013</v>
      </c>
    </row>
    <row r="22" spans="1:10" ht="14.25" customHeight="1">
      <c r="A22" s="56"/>
      <c r="B22" s="56"/>
      <c r="C22" s="97"/>
      <c r="D22" s="97"/>
      <c r="E22" s="97"/>
      <c r="F22" s="97"/>
      <c r="G22" s="97"/>
      <c r="H22" s="97"/>
      <c r="I22" s="97"/>
      <c r="J22" s="97"/>
    </row>
    <row r="23" spans="1:10" ht="14.25" customHeight="1">
      <c r="A23" s="98" t="s">
        <v>403</v>
      </c>
      <c r="B23" s="98"/>
      <c r="C23" s="99"/>
      <c r="D23" s="97">
        <f t="shared" ref="D23:J23" si="5">SUM(D21:D22)</f>
        <v>1152000</v>
      </c>
      <c r="E23" s="97">
        <f t="shared" si="5"/>
        <v>1285200.0000000002</v>
      </c>
      <c r="F23" s="97">
        <f t="shared" si="5"/>
        <v>1428840.0000000002</v>
      </c>
      <c r="G23" s="97">
        <f t="shared" si="5"/>
        <v>1583631.0000000007</v>
      </c>
      <c r="H23" s="97">
        <f t="shared" si="5"/>
        <v>1750329.0000000009</v>
      </c>
      <c r="I23" s="97">
        <f t="shared" si="5"/>
        <v>1837845.4500000011</v>
      </c>
      <c r="J23" s="97">
        <f t="shared" si="5"/>
        <v>1929737.7225000013</v>
      </c>
    </row>
    <row r="24" spans="1:10" ht="14.25" customHeight="1">
      <c r="A24" s="56"/>
      <c r="B24" s="56"/>
      <c r="C24" s="97"/>
      <c r="D24" s="97"/>
      <c r="E24" s="97"/>
      <c r="F24" s="97"/>
      <c r="G24" s="97"/>
      <c r="H24" s="97"/>
      <c r="I24" s="97"/>
      <c r="J24" s="97"/>
    </row>
    <row r="25" spans="1:10" ht="14.25" customHeight="1">
      <c r="A25" s="98" t="s">
        <v>636</v>
      </c>
      <c r="B25" s="98"/>
      <c r="C25" s="97"/>
      <c r="D25" s="97"/>
      <c r="E25" s="97"/>
      <c r="F25" s="97"/>
      <c r="G25" s="97"/>
      <c r="H25" s="97"/>
      <c r="I25" s="97"/>
      <c r="J25" s="97"/>
    </row>
    <row r="26" spans="1:10" ht="14.25" customHeight="1">
      <c r="A26" s="98" t="s">
        <v>404</v>
      </c>
      <c r="B26" s="98"/>
      <c r="C26" s="97"/>
      <c r="D26" s="97"/>
      <c r="E26" s="97"/>
      <c r="F26" s="97"/>
      <c r="G26" s="97"/>
      <c r="H26" s="97"/>
      <c r="I26" s="97"/>
      <c r="J26" s="97"/>
    </row>
    <row r="27" spans="1:10" ht="14.25" customHeight="1">
      <c r="A27" s="56" t="s">
        <v>685</v>
      </c>
      <c r="B27" s="58" t="s">
        <v>679</v>
      </c>
      <c r="C27" s="316">
        <v>14</v>
      </c>
      <c r="D27" s="97">
        <f t="shared" ref="D27:J27" si="6">$B$4*$C$27*D17*4</f>
        <v>56000</v>
      </c>
      <c r="E27" s="97">
        <f t="shared" si="6"/>
        <v>58800</v>
      </c>
      <c r="F27" s="97">
        <f t="shared" si="6"/>
        <v>61740</v>
      </c>
      <c r="G27" s="97">
        <f t="shared" si="6"/>
        <v>64827.000000000007</v>
      </c>
      <c r="H27" s="97">
        <f t="shared" si="6"/>
        <v>68068.350000000006</v>
      </c>
      <c r="I27" s="97">
        <f t="shared" si="6"/>
        <v>71471.767500000016</v>
      </c>
      <c r="J27" s="97">
        <f t="shared" si="6"/>
        <v>75045.355875000023</v>
      </c>
    </row>
    <row r="28" spans="1:10" ht="14.25" customHeight="1">
      <c r="A28" s="56" t="s">
        <v>686</v>
      </c>
      <c r="B28" s="58" t="s">
        <v>679</v>
      </c>
      <c r="C28" s="316">
        <v>14</v>
      </c>
      <c r="D28" s="97">
        <f t="shared" ref="D28:J28" si="7">$B$4*$C$28*D17*12</f>
        <v>168000</v>
      </c>
      <c r="E28" s="97">
        <f t="shared" si="7"/>
        <v>176400</v>
      </c>
      <c r="F28" s="97">
        <f t="shared" si="7"/>
        <v>185220</v>
      </c>
      <c r="G28" s="97">
        <f t="shared" si="7"/>
        <v>194481.00000000003</v>
      </c>
      <c r="H28" s="97">
        <f t="shared" si="7"/>
        <v>204205.05000000002</v>
      </c>
      <c r="I28" s="97">
        <f t="shared" si="7"/>
        <v>214415.30250000005</v>
      </c>
      <c r="J28" s="97">
        <f t="shared" si="7"/>
        <v>225136.06762500008</v>
      </c>
    </row>
    <row r="29" spans="1:10" ht="14.25" customHeight="1">
      <c r="A29" s="56" t="s">
        <v>687</v>
      </c>
      <c r="B29" s="58"/>
      <c r="C29" s="316">
        <v>10000</v>
      </c>
      <c r="D29" s="97">
        <f t="shared" ref="D29:J29" si="8">$C$29*12*D17</f>
        <v>120000</v>
      </c>
      <c r="E29" s="97">
        <f t="shared" si="8"/>
        <v>126000</v>
      </c>
      <c r="F29" s="97">
        <f t="shared" si="8"/>
        <v>132300</v>
      </c>
      <c r="G29" s="97">
        <f t="shared" si="8"/>
        <v>138915.00000000003</v>
      </c>
      <c r="H29" s="97">
        <f t="shared" si="8"/>
        <v>145860.75000000003</v>
      </c>
      <c r="I29" s="97">
        <f t="shared" si="8"/>
        <v>153153.78750000003</v>
      </c>
      <c r="J29" s="97">
        <f t="shared" si="8"/>
        <v>160811.47687500005</v>
      </c>
    </row>
    <row r="30" spans="1:10" ht="14.25" customHeight="1">
      <c r="A30" s="56" t="s">
        <v>688</v>
      </c>
      <c r="B30" s="58"/>
      <c r="C30" s="317">
        <v>1.5E-3</v>
      </c>
      <c r="D30" s="97">
        <f t="shared" ref="D30:J30" si="9">$B$4*50000*$C$30*D17</f>
        <v>75000</v>
      </c>
      <c r="E30" s="97">
        <f t="shared" si="9"/>
        <v>78750</v>
      </c>
      <c r="F30" s="97">
        <f t="shared" si="9"/>
        <v>82687.5</v>
      </c>
      <c r="G30" s="97">
        <f t="shared" si="9"/>
        <v>86821.875000000015</v>
      </c>
      <c r="H30" s="97">
        <f t="shared" si="9"/>
        <v>91162.968750000015</v>
      </c>
      <c r="I30" s="97">
        <f t="shared" si="9"/>
        <v>95721.117187500029</v>
      </c>
      <c r="J30" s="97">
        <f t="shared" si="9"/>
        <v>100507.17304687503</v>
      </c>
    </row>
    <row r="31" spans="1:10" ht="14.25" customHeight="1">
      <c r="A31" s="56"/>
      <c r="B31" s="58"/>
      <c r="C31" s="316"/>
      <c r="D31" s="97"/>
      <c r="E31" s="97"/>
      <c r="F31" s="97"/>
      <c r="G31" s="97"/>
      <c r="H31" s="97"/>
      <c r="I31" s="97"/>
      <c r="J31" s="97"/>
    </row>
    <row r="32" spans="1:10" ht="14.25" customHeight="1">
      <c r="A32" s="56"/>
      <c r="B32" s="58"/>
      <c r="C32" s="316"/>
      <c r="D32" s="97"/>
      <c r="E32" s="97"/>
      <c r="F32" s="97"/>
      <c r="G32" s="97"/>
      <c r="H32" s="97"/>
      <c r="I32" s="97"/>
      <c r="J32" s="97"/>
    </row>
    <row r="33" spans="1:10" ht="14.25" customHeight="1">
      <c r="A33" s="56"/>
      <c r="B33" s="58"/>
      <c r="C33" s="316"/>
      <c r="D33" s="97"/>
      <c r="E33" s="97"/>
      <c r="F33" s="97"/>
      <c r="G33" s="97"/>
      <c r="H33" s="97"/>
      <c r="I33" s="97"/>
      <c r="J33" s="97"/>
    </row>
    <row r="34" spans="1:10" ht="14.25" customHeight="1">
      <c r="A34" s="98" t="s">
        <v>405</v>
      </c>
      <c r="B34" s="62"/>
      <c r="C34" s="310"/>
      <c r="D34" s="99">
        <f t="shared" ref="D34:J34" si="10">SUM(D27:D33)</f>
        <v>419000</v>
      </c>
      <c r="E34" s="99">
        <f t="shared" si="10"/>
        <v>439950</v>
      </c>
      <c r="F34" s="99">
        <f t="shared" si="10"/>
        <v>461947.5</v>
      </c>
      <c r="G34" s="99">
        <f t="shared" si="10"/>
        <v>485044.87500000006</v>
      </c>
      <c r="H34" s="99">
        <f t="shared" si="10"/>
        <v>509297.11875000002</v>
      </c>
      <c r="I34" s="99">
        <f t="shared" si="10"/>
        <v>534761.97468750016</v>
      </c>
      <c r="J34" s="99">
        <f t="shared" si="10"/>
        <v>561500.07342187513</v>
      </c>
    </row>
    <row r="35" spans="1:10" ht="14.25" customHeight="1">
      <c r="A35" s="98"/>
      <c r="B35" s="62"/>
      <c r="C35" s="310"/>
      <c r="D35" s="99"/>
      <c r="E35" s="99"/>
      <c r="F35" s="99"/>
      <c r="G35" s="99"/>
      <c r="H35" s="99"/>
      <c r="I35" s="99"/>
      <c r="J35" s="99"/>
    </row>
    <row r="36" spans="1:10" ht="14.25" customHeight="1">
      <c r="A36" s="98" t="s">
        <v>406</v>
      </c>
      <c r="B36" s="58"/>
      <c r="C36" s="316"/>
      <c r="D36" s="97"/>
      <c r="E36" s="97"/>
      <c r="F36" s="97"/>
      <c r="G36" s="97"/>
      <c r="H36" s="97"/>
      <c r="I36" s="97"/>
      <c r="J36" s="97"/>
    </row>
    <row r="37" spans="1:10" ht="14.25" customHeight="1">
      <c r="A37" s="56" t="s">
        <v>689</v>
      </c>
      <c r="B37" s="58">
        <v>1</v>
      </c>
      <c r="C37" s="316">
        <v>10000</v>
      </c>
      <c r="D37" s="97">
        <f t="shared" ref="D37:J37" si="11">$B$37*$C$37*D17*12</f>
        <v>120000</v>
      </c>
      <c r="E37" s="97">
        <f t="shared" si="11"/>
        <v>126000</v>
      </c>
      <c r="F37" s="97">
        <f t="shared" si="11"/>
        <v>132300</v>
      </c>
      <c r="G37" s="97">
        <f t="shared" si="11"/>
        <v>138915.00000000003</v>
      </c>
      <c r="H37" s="97">
        <f t="shared" si="11"/>
        <v>145860.75000000003</v>
      </c>
      <c r="I37" s="97">
        <f t="shared" si="11"/>
        <v>153153.78750000003</v>
      </c>
      <c r="J37" s="97">
        <f t="shared" si="11"/>
        <v>160811.47687500005</v>
      </c>
    </row>
    <row r="38" spans="1:10" ht="14.25" customHeight="1">
      <c r="A38" s="56"/>
      <c r="B38" s="58"/>
      <c r="C38" s="316"/>
      <c r="D38" s="97"/>
      <c r="E38" s="97"/>
      <c r="F38" s="97"/>
      <c r="G38" s="97"/>
      <c r="H38" s="97"/>
      <c r="I38" s="97"/>
      <c r="J38" s="97"/>
    </row>
    <row r="39" spans="1:10" ht="14.25" customHeight="1">
      <c r="A39" s="56"/>
      <c r="B39" s="58"/>
      <c r="C39" s="316"/>
      <c r="D39" s="97"/>
      <c r="E39" s="97"/>
      <c r="F39" s="97"/>
      <c r="G39" s="97"/>
      <c r="H39" s="97"/>
      <c r="I39" s="97"/>
      <c r="J39" s="97"/>
    </row>
    <row r="40" spans="1:10" ht="14.25" customHeight="1">
      <c r="A40" s="56"/>
      <c r="B40" s="58"/>
      <c r="C40" s="316"/>
      <c r="D40" s="97"/>
      <c r="E40" s="97"/>
      <c r="F40" s="97"/>
      <c r="G40" s="97"/>
      <c r="H40" s="97"/>
      <c r="I40" s="97"/>
      <c r="J40" s="97"/>
    </row>
    <row r="41" spans="1:10" ht="14.25" customHeight="1">
      <c r="A41" s="56"/>
      <c r="B41" s="58"/>
      <c r="C41" s="316"/>
      <c r="D41" s="97"/>
      <c r="E41" s="97"/>
      <c r="F41" s="97"/>
      <c r="G41" s="97"/>
      <c r="H41" s="97"/>
      <c r="I41" s="97"/>
      <c r="J41" s="97"/>
    </row>
    <row r="42" spans="1:10" ht="14.25" customHeight="1">
      <c r="A42" s="56"/>
      <c r="B42" s="58"/>
      <c r="C42" s="316"/>
      <c r="D42" s="97"/>
      <c r="E42" s="97"/>
      <c r="F42" s="97"/>
      <c r="G42" s="97"/>
      <c r="H42" s="97"/>
      <c r="I42" s="97"/>
      <c r="J42" s="97"/>
    </row>
    <row r="43" spans="1:10" ht="14.25" customHeight="1">
      <c r="A43" s="98" t="s">
        <v>408</v>
      </c>
      <c r="B43" s="98"/>
      <c r="C43" s="99"/>
      <c r="D43" s="99">
        <f t="shared" ref="D43:J43" si="12">SUM(D37:D42)</f>
        <v>120000</v>
      </c>
      <c r="E43" s="99">
        <f t="shared" si="12"/>
        <v>126000</v>
      </c>
      <c r="F43" s="99">
        <f t="shared" si="12"/>
        <v>132300</v>
      </c>
      <c r="G43" s="99">
        <f t="shared" si="12"/>
        <v>138915.00000000003</v>
      </c>
      <c r="H43" s="99">
        <f t="shared" si="12"/>
        <v>145860.75000000003</v>
      </c>
      <c r="I43" s="99">
        <f t="shared" si="12"/>
        <v>153153.78750000003</v>
      </c>
      <c r="J43" s="99">
        <f t="shared" si="12"/>
        <v>160811.47687500005</v>
      </c>
    </row>
    <row r="44" spans="1:10" ht="14.25" customHeight="1">
      <c r="A44" s="98"/>
      <c r="B44" s="98"/>
      <c r="C44" s="99"/>
      <c r="D44" s="99"/>
      <c r="E44" s="99"/>
      <c r="F44" s="99"/>
      <c r="G44" s="99"/>
      <c r="H44" s="99"/>
      <c r="I44" s="99"/>
      <c r="J44" s="99"/>
    </row>
    <row r="45" spans="1:10" ht="14.25" customHeight="1">
      <c r="A45" s="98" t="s">
        <v>648</v>
      </c>
      <c r="B45" s="98"/>
      <c r="C45" s="99"/>
      <c r="D45" s="99">
        <f t="shared" ref="D45:J45" si="13">D34+D43</f>
        <v>539000</v>
      </c>
      <c r="E45" s="99">
        <f t="shared" si="13"/>
        <v>565950</v>
      </c>
      <c r="F45" s="99">
        <f t="shared" si="13"/>
        <v>594247.5</v>
      </c>
      <c r="G45" s="99">
        <f t="shared" si="13"/>
        <v>623959.87500000012</v>
      </c>
      <c r="H45" s="99">
        <f t="shared" si="13"/>
        <v>655157.86875000002</v>
      </c>
      <c r="I45" s="99">
        <f t="shared" si="13"/>
        <v>687915.76218750025</v>
      </c>
      <c r="J45" s="99">
        <f t="shared" si="13"/>
        <v>722311.55029687518</v>
      </c>
    </row>
    <row r="46" spans="1:10" ht="14.25" customHeight="1">
      <c r="A46" s="56"/>
      <c r="B46" s="56"/>
      <c r="C46" s="97"/>
      <c r="D46" s="97"/>
      <c r="E46" s="97"/>
      <c r="F46" s="97"/>
      <c r="G46" s="97"/>
      <c r="H46" s="97"/>
      <c r="I46" s="97"/>
      <c r="J46" s="97"/>
    </row>
    <row r="47" spans="1:10" ht="14.25" customHeight="1">
      <c r="A47" s="98" t="s">
        <v>690</v>
      </c>
      <c r="B47" s="98"/>
      <c r="C47" s="99"/>
      <c r="D47" s="99">
        <f t="shared" ref="D47:J47" si="14">D23-D45</f>
        <v>613000</v>
      </c>
      <c r="E47" s="99">
        <f t="shared" si="14"/>
        <v>719250.00000000023</v>
      </c>
      <c r="F47" s="99">
        <f t="shared" si="14"/>
        <v>834592.50000000023</v>
      </c>
      <c r="G47" s="99">
        <f t="shared" si="14"/>
        <v>959671.12500000058</v>
      </c>
      <c r="H47" s="99">
        <f t="shared" si="14"/>
        <v>1095171.131250001</v>
      </c>
      <c r="I47" s="99">
        <f t="shared" si="14"/>
        <v>1149929.6878125009</v>
      </c>
      <c r="J47" s="99">
        <f t="shared" si="14"/>
        <v>1207426.1722031261</v>
      </c>
    </row>
    <row r="48" spans="1:10" ht="14.25" customHeight="1">
      <c r="A48" s="92"/>
      <c r="B48" s="92"/>
      <c r="C48" s="92"/>
      <c r="D48" s="92"/>
      <c r="E48" s="92"/>
      <c r="F48" s="92"/>
      <c r="G48" s="92"/>
      <c r="H48" s="92"/>
      <c r="I48" s="92"/>
      <c r="J48" s="92"/>
    </row>
    <row r="49" spans="1:10" ht="14.25" customHeight="1">
      <c r="A49" s="92"/>
    </row>
    <row r="50" spans="1:10" ht="14.25" customHeight="1"/>
    <row r="51" spans="1:10" ht="14.25" customHeight="1">
      <c r="A51" s="362" t="s">
        <v>673</v>
      </c>
      <c r="B51" s="360"/>
      <c r="C51" s="360"/>
      <c r="D51" s="360"/>
      <c r="E51" s="360"/>
      <c r="F51" s="360"/>
      <c r="G51" s="360"/>
      <c r="H51" s="360"/>
      <c r="I51" s="360"/>
      <c r="J51" s="360"/>
    </row>
    <row r="52" spans="1:10" ht="14.25" customHeight="1"/>
    <row r="53" spans="1:10" ht="14.25" customHeight="1">
      <c r="A53" t="s">
        <v>361</v>
      </c>
    </row>
    <row r="54" spans="1:10" ht="14.25" customHeight="1">
      <c r="A54">
        <v>1</v>
      </c>
      <c r="B54" t="s">
        <v>652</v>
      </c>
    </row>
    <row r="55" spans="1:10" ht="14.25" customHeight="1">
      <c r="A55">
        <v>2</v>
      </c>
      <c r="B55" t="s">
        <v>653</v>
      </c>
    </row>
    <row r="56" spans="1:10" ht="14.25" customHeight="1">
      <c r="A56">
        <v>3</v>
      </c>
      <c r="B56" s="92" t="s">
        <v>654</v>
      </c>
    </row>
    <row r="57" spans="1:10" ht="14.25" customHeight="1"/>
    <row r="58" spans="1:10" ht="14.25" customHeight="1"/>
    <row r="59" spans="1:10" ht="14.25" customHeight="1"/>
    <row r="60" spans="1:10" ht="14.25" customHeight="1"/>
    <row r="61" spans="1:10" ht="14.25" customHeight="1"/>
    <row r="62" spans="1:10" ht="14.25" customHeight="1"/>
    <row r="63" spans="1:10" ht="14.25" customHeight="1"/>
    <row r="64" spans="1:10"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15:J15"/>
    <mergeCell ref="A2:H2"/>
    <mergeCell ref="A51:J51"/>
    <mergeCell ref="A3:H3"/>
  </mergeCells>
  <pageMargins left="0.7" right="0.7" top="0.75" bottom="0.75" header="0" footer="0"/>
  <pageSetup paperSize="9" orientation="portrait"/>
  <colBreaks count="1" manualBreakCount="1">
    <brk id="1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00"/>
  <sheetViews>
    <sheetView workbookViewId="0"/>
  </sheetViews>
  <sheetFormatPr defaultColWidth="14.42578125" defaultRowHeight="15" customHeight="1"/>
  <cols>
    <col min="1" max="2" width="29.42578125" customWidth="1"/>
    <col min="3" max="3" width="12.140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5" max="16" width="8.7109375" customWidth="1"/>
  </cols>
  <sheetData>
    <row r="1" spans="1:13" ht="14.25" customHeight="1"/>
    <row r="2" spans="1:13" ht="14.25" customHeight="1"/>
    <row r="3" spans="1:13" ht="14.25" customHeight="1">
      <c r="A3" s="359" t="s">
        <v>691</v>
      </c>
      <c r="B3" s="360"/>
      <c r="C3" s="360"/>
      <c r="D3" s="360"/>
      <c r="E3" s="360"/>
      <c r="F3" s="360"/>
      <c r="G3" s="360"/>
      <c r="H3" s="360"/>
      <c r="I3" s="360"/>
      <c r="J3" s="360"/>
      <c r="K3" s="360"/>
      <c r="L3" s="360"/>
    </row>
    <row r="4" spans="1:13" ht="14.25" customHeight="1">
      <c r="A4" s="359" t="s">
        <v>692</v>
      </c>
      <c r="B4" s="360"/>
      <c r="C4" s="360"/>
      <c r="D4" s="360"/>
      <c r="E4" s="360"/>
      <c r="F4" s="360"/>
      <c r="G4" s="360"/>
      <c r="H4" s="360"/>
      <c r="I4" s="360"/>
      <c r="J4" s="360"/>
      <c r="K4" s="360"/>
      <c r="L4" s="360"/>
    </row>
    <row r="5" spans="1:13" ht="14.25" customHeight="1">
      <c r="A5" s="92"/>
      <c r="B5" s="92"/>
      <c r="C5" s="92"/>
    </row>
    <row r="6" spans="1:13" ht="14.25" customHeight="1">
      <c r="A6" s="92"/>
      <c r="B6" s="92"/>
      <c r="C6" s="92"/>
    </row>
    <row r="7" spans="1:13" ht="14.25" customHeight="1">
      <c r="A7" s="141" t="s">
        <v>81</v>
      </c>
      <c r="B7" s="278" t="s">
        <v>693</v>
      </c>
      <c r="C7" s="278" t="s">
        <v>694</v>
      </c>
      <c r="D7" s="278" t="s">
        <v>695</v>
      </c>
      <c r="E7" s="278" t="s">
        <v>696</v>
      </c>
      <c r="F7" s="278" t="s">
        <v>697</v>
      </c>
      <c r="G7" s="278" t="s">
        <v>698</v>
      </c>
      <c r="H7" s="278" t="s">
        <v>699</v>
      </c>
      <c r="I7" s="278" t="s">
        <v>700</v>
      </c>
      <c r="J7" s="318" t="s">
        <v>701</v>
      </c>
      <c r="K7" s="278" t="s">
        <v>702</v>
      </c>
      <c r="L7" s="318" t="s">
        <v>703</v>
      </c>
      <c r="M7" s="278" t="s">
        <v>704</v>
      </c>
    </row>
    <row r="8" spans="1:13" ht="14.25" customHeight="1">
      <c r="A8" s="319">
        <v>1</v>
      </c>
      <c r="B8" s="273" t="s">
        <v>705</v>
      </c>
      <c r="C8" s="273">
        <v>1</v>
      </c>
      <c r="D8" s="273"/>
      <c r="E8" s="273">
        <v>8</v>
      </c>
      <c r="F8" s="64">
        <f t="shared" ref="F8:F16" si="0">D8*E8*C8</f>
        <v>0</v>
      </c>
      <c r="G8" s="273">
        <v>4</v>
      </c>
      <c r="H8" s="64">
        <f t="shared" ref="H8:H16" si="1">F8/G8</f>
        <v>0</v>
      </c>
      <c r="I8" s="273">
        <v>12</v>
      </c>
      <c r="J8" s="64">
        <f t="shared" ref="J8:J16" si="2">H8*I8</f>
        <v>0</v>
      </c>
      <c r="K8" s="273">
        <v>3000</v>
      </c>
      <c r="L8" s="273">
        <v>1</v>
      </c>
      <c r="M8" s="64">
        <f t="shared" ref="M8:M16" si="3">D8*L8</f>
        <v>0</v>
      </c>
    </row>
    <row r="9" spans="1:13" ht="14.25" customHeight="1">
      <c r="A9" s="319">
        <v>2</v>
      </c>
      <c r="B9" s="273" t="s">
        <v>706</v>
      </c>
      <c r="C9" s="273">
        <v>1</v>
      </c>
      <c r="D9" s="273"/>
      <c r="E9" s="273">
        <v>8</v>
      </c>
      <c r="F9" s="64">
        <f t="shared" si="0"/>
        <v>0</v>
      </c>
      <c r="G9" s="273">
        <v>2</v>
      </c>
      <c r="H9" s="64">
        <f t="shared" si="1"/>
        <v>0</v>
      </c>
      <c r="I9" s="273">
        <v>8</v>
      </c>
      <c r="J9" s="64">
        <f t="shared" si="2"/>
        <v>0</v>
      </c>
      <c r="K9" s="273">
        <v>1800</v>
      </c>
      <c r="L9" s="273">
        <v>1</v>
      </c>
      <c r="M9" s="64">
        <f t="shared" si="3"/>
        <v>0</v>
      </c>
    </row>
    <row r="10" spans="1:13" ht="14.25" customHeight="1">
      <c r="A10" s="319">
        <v>3</v>
      </c>
      <c r="B10" s="273" t="s">
        <v>707</v>
      </c>
      <c r="C10" s="273">
        <v>1</v>
      </c>
      <c r="D10" s="273"/>
      <c r="E10" s="273">
        <v>8</v>
      </c>
      <c r="F10" s="64">
        <f t="shared" si="0"/>
        <v>0</v>
      </c>
      <c r="G10" s="273">
        <v>2</v>
      </c>
      <c r="H10" s="64">
        <f t="shared" si="1"/>
        <v>0</v>
      </c>
      <c r="I10" s="273">
        <v>8</v>
      </c>
      <c r="J10" s="64">
        <f t="shared" si="2"/>
        <v>0</v>
      </c>
      <c r="K10" s="273">
        <v>1800</v>
      </c>
      <c r="L10" s="273">
        <v>1</v>
      </c>
      <c r="M10" s="64">
        <f t="shared" si="3"/>
        <v>0</v>
      </c>
    </row>
    <row r="11" spans="1:13" ht="14.25" customHeight="1">
      <c r="A11" s="319">
        <v>5</v>
      </c>
      <c r="B11" s="273" t="s">
        <v>708</v>
      </c>
      <c r="C11" s="273">
        <v>1</v>
      </c>
      <c r="D11" s="273"/>
      <c r="E11" s="273">
        <v>8</v>
      </c>
      <c r="F11" s="64">
        <f t="shared" si="0"/>
        <v>0</v>
      </c>
      <c r="G11" s="273">
        <v>2</v>
      </c>
      <c r="H11" s="64">
        <f t="shared" si="1"/>
        <v>0</v>
      </c>
      <c r="I11" s="273">
        <v>10</v>
      </c>
      <c r="J11" s="64">
        <f t="shared" si="2"/>
        <v>0</v>
      </c>
      <c r="K11" s="273">
        <v>1500</v>
      </c>
      <c r="L11" s="273">
        <v>1</v>
      </c>
      <c r="M11" s="64">
        <f t="shared" si="3"/>
        <v>0</v>
      </c>
    </row>
    <row r="12" spans="1:13" ht="14.25" customHeight="1">
      <c r="A12" s="319">
        <v>6</v>
      </c>
      <c r="B12" s="64" t="e">
        <f>'2.Capex Details'!#REF!</f>
        <v>#REF!</v>
      </c>
      <c r="C12" s="273">
        <v>1</v>
      </c>
      <c r="D12" s="273"/>
      <c r="E12" s="273">
        <v>8</v>
      </c>
      <c r="F12" s="64">
        <f t="shared" si="0"/>
        <v>0</v>
      </c>
      <c r="G12" s="273">
        <v>2</v>
      </c>
      <c r="H12" s="64">
        <f t="shared" si="1"/>
        <v>0</v>
      </c>
      <c r="I12" s="273">
        <v>7</v>
      </c>
      <c r="J12" s="64">
        <f t="shared" si="2"/>
        <v>0</v>
      </c>
      <c r="K12" s="273">
        <v>800</v>
      </c>
      <c r="L12" s="273">
        <v>1</v>
      </c>
      <c r="M12" s="64">
        <f t="shared" si="3"/>
        <v>0</v>
      </c>
    </row>
    <row r="13" spans="1:13" ht="14.25" customHeight="1">
      <c r="A13" s="319">
        <v>7</v>
      </c>
      <c r="B13" s="64" t="e">
        <f>Sheet1!#REF!</f>
        <v>#REF!</v>
      </c>
      <c r="C13" s="273">
        <v>1</v>
      </c>
      <c r="D13" s="273"/>
      <c r="E13" s="273">
        <v>8</v>
      </c>
      <c r="F13" s="64">
        <f t="shared" si="0"/>
        <v>0</v>
      </c>
      <c r="G13" s="273">
        <v>3</v>
      </c>
      <c r="H13" s="64">
        <f t="shared" si="1"/>
        <v>0</v>
      </c>
      <c r="I13" s="273">
        <v>10</v>
      </c>
      <c r="J13" s="64">
        <f t="shared" si="2"/>
        <v>0</v>
      </c>
      <c r="K13" s="273">
        <v>1000</v>
      </c>
      <c r="L13" s="273">
        <v>1</v>
      </c>
      <c r="M13" s="64">
        <f t="shared" si="3"/>
        <v>0</v>
      </c>
    </row>
    <row r="14" spans="1:13" ht="14.25" customHeight="1">
      <c r="A14" s="319">
        <v>8</v>
      </c>
      <c r="B14" s="64" t="e">
        <f>'2.Capex Details'!#REF!</f>
        <v>#REF!</v>
      </c>
      <c r="C14" s="273">
        <v>1</v>
      </c>
      <c r="D14" s="273"/>
      <c r="E14" s="273">
        <v>8</v>
      </c>
      <c r="F14" s="64">
        <f t="shared" si="0"/>
        <v>0</v>
      </c>
      <c r="G14" s="273">
        <v>3</v>
      </c>
      <c r="H14" s="64">
        <f t="shared" si="1"/>
        <v>0</v>
      </c>
      <c r="I14" s="273">
        <v>10</v>
      </c>
      <c r="J14" s="64">
        <f t="shared" si="2"/>
        <v>0</v>
      </c>
      <c r="K14" s="273">
        <v>1200</v>
      </c>
      <c r="L14" s="273">
        <v>1</v>
      </c>
      <c r="M14" s="64">
        <f t="shared" si="3"/>
        <v>0</v>
      </c>
    </row>
    <row r="15" spans="1:13" ht="14.25" customHeight="1">
      <c r="A15" s="319">
        <v>9</v>
      </c>
      <c r="B15" s="64" t="e">
        <f>'2.Capex Details'!#REF!</f>
        <v>#REF!</v>
      </c>
      <c r="C15" s="273">
        <v>1</v>
      </c>
      <c r="D15" s="273"/>
      <c r="E15" s="273">
        <v>8</v>
      </c>
      <c r="F15" s="64">
        <f t="shared" si="0"/>
        <v>0</v>
      </c>
      <c r="G15" s="273">
        <v>3</v>
      </c>
      <c r="H15" s="64">
        <f t="shared" si="1"/>
        <v>0</v>
      </c>
      <c r="I15" s="273">
        <v>8</v>
      </c>
      <c r="J15" s="64">
        <f t="shared" si="2"/>
        <v>0</v>
      </c>
      <c r="K15" s="273">
        <v>1000</v>
      </c>
      <c r="L15" s="273">
        <v>1</v>
      </c>
      <c r="M15" s="64">
        <f t="shared" si="3"/>
        <v>0</v>
      </c>
    </row>
    <row r="16" spans="1:13" ht="14.25" customHeight="1">
      <c r="A16" s="319">
        <v>10</v>
      </c>
      <c r="B16" s="64" t="str">
        <f>'2.Capex Details'!C26</f>
        <v>BUCKET ELEVATOR TO FEED MAGNETIC SEPARATOR</v>
      </c>
      <c r="C16" s="273">
        <v>1</v>
      </c>
      <c r="D16" s="273"/>
      <c r="E16" s="273">
        <v>8</v>
      </c>
      <c r="F16" s="64">
        <f t="shared" si="0"/>
        <v>0</v>
      </c>
      <c r="G16" s="273">
        <v>4</v>
      </c>
      <c r="H16" s="64">
        <f t="shared" si="1"/>
        <v>0</v>
      </c>
      <c r="I16" s="273">
        <v>6</v>
      </c>
      <c r="J16" s="64">
        <f t="shared" si="2"/>
        <v>0</v>
      </c>
      <c r="K16" s="273">
        <v>800</v>
      </c>
      <c r="L16" s="273">
        <v>1</v>
      </c>
      <c r="M16" s="64">
        <f t="shared" si="3"/>
        <v>0</v>
      </c>
    </row>
    <row r="17" spans="1:16" ht="14.25" customHeight="1">
      <c r="A17" s="54"/>
      <c r="B17" s="54"/>
    </row>
    <row r="18" spans="1:16" ht="14.25" customHeight="1">
      <c r="A18" s="54"/>
      <c r="B18" s="54"/>
    </row>
    <row r="19" spans="1:16" ht="14.25" customHeight="1"/>
    <row r="20" spans="1:16" ht="14.25" customHeight="1">
      <c r="A20" s="359" t="s">
        <v>709</v>
      </c>
      <c r="B20" s="360"/>
      <c r="C20" s="360"/>
      <c r="D20" s="360"/>
      <c r="E20" s="360"/>
      <c r="F20" s="360"/>
      <c r="G20" s="360"/>
      <c r="H20" s="360"/>
      <c r="I20" s="360"/>
      <c r="J20" s="360"/>
      <c r="K20" s="360"/>
    </row>
    <row r="21" spans="1:16" ht="14.25" customHeight="1"/>
    <row r="22" spans="1:16" ht="14.25" customHeight="1">
      <c r="A22" s="92"/>
      <c r="B22" s="92"/>
      <c r="C22" s="92"/>
      <c r="D22" s="92"/>
      <c r="E22" s="93">
        <v>1</v>
      </c>
      <c r="F22" s="94">
        <f t="shared" ref="F22:K22" si="4">(E22*5%)+E22</f>
        <v>1.05</v>
      </c>
      <c r="G22" s="94">
        <f t="shared" si="4"/>
        <v>1.1025</v>
      </c>
      <c r="H22" s="94">
        <f t="shared" si="4"/>
        <v>1.1576250000000001</v>
      </c>
      <c r="I22" s="94">
        <f t="shared" si="4"/>
        <v>1.2155062500000002</v>
      </c>
      <c r="J22" s="94">
        <f t="shared" si="4"/>
        <v>1.2762815625000004</v>
      </c>
      <c r="K22" s="94">
        <f t="shared" si="4"/>
        <v>1.3400956406250004</v>
      </c>
    </row>
    <row r="23" spans="1:16" ht="14.25" customHeight="1">
      <c r="A23" s="95" t="s">
        <v>201</v>
      </c>
      <c r="B23" s="95" t="s">
        <v>115</v>
      </c>
      <c r="C23" s="95" t="s">
        <v>116</v>
      </c>
      <c r="D23" s="95" t="s">
        <v>129</v>
      </c>
      <c r="E23" s="96" t="s">
        <v>204</v>
      </c>
      <c r="F23" s="96" t="s">
        <v>205</v>
      </c>
      <c r="G23" s="96" t="s">
        <v>206</v>
      </c>
      <c r="H23" s="96" t="s">
        <v>207</v>
      </c>
      <c r="I23" s="96" t="s">
        <v>208</v>
      </c>
      <c r="J23" s="96" t="s">
        <v>209</v>
      </c>
      <c r="K23" s="96" t="s">
        <v>210</v>
      </c>
    </row>
    <row r="24" spans="1:16" ht="14.25" customHeight="1">
      <c r="A24" s="98"/>
      <c r="B24" s="98"/>
      <c r="C24" s="98"/>
      <c r="D24" s="98"/>
      <c r="E24" s="56"/>
      <c r="F24" s="56"/>
      <c r="G24" s="56"/>
      <c r="H24" s="56"/>
      <c r="I24" s="56"/>
      <c r="J24" s="56"/>
      <c r="K24" s="56"/>
    </row>
    <row r="25" spans="1:16" ht="14.25" customHeight="1">
      <c r="A25" s="98" t="s">
        <v>396</v>
      </c>
      <c r="B25" s="98"/>
      <c r="C25" s="98"/>
      <c r="D25" s="98"/>
      <c r="E25" s="56"/>
      <c r="F25" s="56"/>
      <c r="G25" s="56"/>
      <c r="H25" s="56"/>
      <c r="I25" s="56"/>
      <c r="J25" s="56"/>
      <c r="K25" s="56"/>
      <c r="P25" s="92"/>
    </row>
    <row r="26" spans="1:16" ht="14.25" customHeight="1">
      <c r="A26" s="313" t="s">
        <v>710</v>
      </c>
      <c r="B26" s="249"/>
      <c r="C26" s="249"/>
      <c r="D26" s="249"/>
      <c r="E26" s="97"/>
      <c r="F26" s="97"/>
      <c r="G26" s="97"/>
      <c r="H26" s="97"/>
      <c r="I26" s="97"/>
      <c r="J26" s="97"/>
      <c r="K26" s="97"/>
      <c r="P26" s="92"/>
    </row>
    <row r="27" spans="1:16" ht="14.25" customHeight="1">
      <c r="A27" s="249" t="str">
        <f t="shared" ref="A27:A36" si="5">B8</f>
        <v>Combine Harvestor</v>
      </c>
      <c r="B27" s="249" t="s">
        <v>711</v>
      </c>
      <c r="C27" s="249">
        <f t="shared" ref="C27:C36" si="6">H8</f>
        <v>0</v>
      </c>
      <c r="D27" s="249">
        <f t="shared" ref="D27:D36" si="7">K8</f>
        <v>3000</v>
      </c>
      <c r="E27" s="97">
        <f t="shared" ref="E27:K27" si="8">$C$27*$D$27*E22</f>
        <v>0</v>
      </c>
      <c r="F27" s="97">
        <f t="shared" si="8"/>
        <v>0</v>
      </c>
      <c r="G27" s="97">
        <f t="shared" si="8"/>
        <v>0</v>
      </c>
      <c r="H27" s="97">
        <f t="shared" si="8"/>
        <v>0</v>
      </c>
      <c r="I27" s="97">
        <f t="shared" si="8"/>
        <v>0</v>
      </c>
      <c r="J27" s="97">
        <f t="shared" si="8"/>
        <v>0</v>
      </c>
      <c r="K27" s="97">
        <f t="shared" si="8"/>
        <v>0</v>
      </c>
      <c r="P27" s="92"/>
    </row>
    <row r="28" spans="1:16" ht="14.25" customHeight="1">
      <c r="A28" s="249" t="str">
        <f t="shared" si="5"/>
        <v>Cultivator</v>
      </c>
      <c r="B28" s="249" t="s">
        <v>711</v>
      </c>
      <c r="C28" s="249">
        <f t="shared" si="6"/>
        <v>0</v>
      </c>
      <c r="D28" s="249">
        <f t="shared" si="7"/>
        <v>1800</v>
      </c>
      <c r="E28" s="97">
        <f t="shared" ref="E28:K28" si="9">$C$28*$D$28*E22</f>
        <v>0</v>
      </c>
      <c r="F28" s="97">
        <f t="shared" si="9"/>
        <v>0</v>
      </c>
      <c r="G28" s="97">
        <f t="shared" si="9"/>
        <v>0</v>
      </c>
      <c r="H28" s="97">
        <f t="shared" si="9"/>
        <v>0</v>
      </c>
      <c r="I28" s="97">
        <f t="shared" si="9"/>
        <v>0</v>
      </c>
      <c r="J28" s="97">
        <f t="shared" si="9"/>
        <v>0</v>
      </c>
      <c r="K28" s="97">
        <f t="shared" si="9"/>
        <v>0</v>
      </c>
      <c r="P28" s="92"/>
    </row>
    <row r="29" spans="1:16" ht="14.25" customHeight="1">
      <c r="A29" s="249" t="str">
        <f t="shared" si="5"/>
        <v>Rotavator</v>
      </c>
      <c r="B29" s="249" t="s">
        <v>711</v>
      </c>
      <c r="C29" s="249">
        <f t="shared" si="6"/>
        <v>0</v>
      </c>
      <c r="D29" s="249">
        <f t="shared" si="7"/>
        <v>1800</v>
      </c>
      <c r="E29" s="97">
        <f t="shared" ref="E29:K29" si="10">$C$29*$D$29*E22</f>
        <v>0</v>
      </c>
      <c r="F29" s="97">
        <f t="shared" si="10"/>
        <v>0</v>
      </c>
      <c r="G29" s="97">
        <f t="shared" si="10"/>
        <v>0</v>
      </c>
      <c r="H29" s="97">
        <f t="shared" si="10"/>
        <v>0</v>
      </c>
      <c r="I29" s="97">
        <f t="shared" si="10"/>
        <v>0</v>
      </c>
      <c r="J29" s="97">
        <f t="shared" si="10"/>
        <v>0</v>
      </c>
      <c r="K29" s="97">
        <f t="shared" si="10"/>
        <v>0</v>
      </c>
      <c r="P29" s="92"/>
    </row>
    <row r="30" spans="1:16" ht="14.25" customHeight="1">
      <c r="A30" s="249" t="str">
        <f t="shared" si="5"/>
        <v>Mobile Threshing</v>
      </c>
      <c r="B30" s="249" t="s">
        <v>711</v>
      </c>
      <c r="C30" s="249">
        <f t="shared" si="6"/>
        <v>0</v>
      </c>
      <c r="D30" s="249">
        <f t="shared" si="7"/>
        <v>1500</v>
      </c>
      <c r="E30" s="97">
        <f t="shared" ref="E30:K30" si="11">$C$30*$D$30*E22</f>
        <v>0</v>
      </c>
      <c r="F30" s="97">
        <f t="shared" si="11"/>
        <v>0</v>
      </c>
      <c r="G30" s="97">
        <f t="shared" si="11"/>
        <v>0</v>
      </c>
      <c r="H30" s="97">
        <f t="shared" si="11"/>
        <v>0</v>
      </c>
      <c r="I30" s="97">
        <f t="shared" si="11"/>
        <v>0</v>
      </c>
      <c r="J30" s="97">
        <f t="shared" si="11"/>
        <v>0</v>
      </c>
      <c r="K30" s="97">
        <f t="shared" si="11"/>
        <v>0</v>
      </c>
      <c r="P30" s="92"/>
    </row>
    <row r="31" spans="1:16" ht="14.25" customHeight="1">
      <c r="A31" s="249" t="e">
        <f t="shared" si="5"/>
        <v>#REF!</v>
      </c>
      <c r="B31" s="249" t="s">
        <v>711</v>
      </c>
      <c r="C31" s="249">
        <f t="shared" si="6"/>
        <v>0</v>
      </c>
      <c r="D31" s="249">
        <f t="shared" si="7"/>
        <v>800</v>
      </c>
      <c r="E31" s="97">
        <f t="shared" ref="E31:K31" si="12">$C$31*$D$31*E22</f>
        <v>0</v>
      </c>
      <c r="F31" s="97">
        <f t="shared" si="12"/>
        <v>0</v>
      </c>
      <c r="G31" s="97">
        <f t="shared" si="12"/>
        <v>0</v>
      </c>
      <c r="H31" s="97">
        <f t="shared" si="12"/>
        <v>0</v>
      </c>
      <c r="I31" s="97">
        <f t="shared" si="12"/>
        <v>0</v>
      </c>
      <c r="J31" s="97">
        <f t="shared" si="12"/>
        <v>0</v>
      </c>
      <c r="K31" s="97">
        <f t="shared" si="12"/>
        <v>0</v>
      </c>
      <c r="P31" s="92"/>
    </row>
    <row r="32" spans="1:16" ht="14.25" customHeight="1">
      <c r="A32" s="249" t="e">
        <f t="shared" si="5"/>
        <v>#REF!</v>
      </c>
      <c r="B32" s="249" t="s">
        <v>711</v>
      </c>
      <c r="C32" s="249">
        <f t="shared" si="6"/>
        <v>0</v>
      </c>
      <c r="D32" s="249">
        <f t="shared" si="7"/>
        <v>1000</v>
      </c>
      <c r="E32" s="97">
        <f t="shared" ref="E32:K32" si="13">$C$32*$D$32*E22</f>
        <v>0</v>
      </c>
      <c r="F32" s="97">
        <f t="shared" si="13"/>
        <v>0</v>
      </c>
      <c r="G32" s="97">
        <f t="shared" si="13"/>
        <v>0</v>
      </c>
      <c r="H32" s="97">
        <f t="shared" si="13"/>
        <v>0</v>
      </c>
      <c r="I32" s="97">
        <f t="shared" si="13"/>
        <v>0</v>
      </c>
      <c r="J32" s="97">
        <f t="shared" si="13"/>
        <v>0</v>
      </c>
      <c r="K32" s="97">
        <f t="shared" si="13"/>
        <v>0</v>
      </c>
      <c r="P32" s="92"/>
    </row>
    <row r="33" spans="1:16" ht="14.25" customHeight="1">
      <c r="A33" s="249" t="e">
        <f t="shared" si="5"/>
        <v>#REF!</v>
      </c>
      <c r="B33" s="249" t="s">
        <v>711</v>
      </c>
      <c r="C33" s="249">
        <f t="shared" si="6"/>
        <v>0</v>
      </c>
      <c r="D33" s="249">
        <f t="shared" si="7"/>
        <v>1200</v>
      </c>
      <c r="E33" s="97">
        <f t="shared" ref="E33:K33" si="14">$C$33*$D$33*E22</f>
        <v>0</v>
      </c>
      <c r="F33" s="97">
        <f t="shared" si="14"/>
        <v>0</v>
      </c>
      <c r="G33" s="97">
        <f t="shared" si="14"/>
        <v>0</v>
      </c>
      <c r="H33" s="97">
        <f t="shared" si="14"/>
        <v>0</v>
      </c>
      <c r="I33" s="97">
        <f t="shared" si="14"/>
        <v>0</v>
      </c>
      <c r="J33" s="97">
        <f t="shared" si="14"/>
        <v>0</v>
      </c>
      <c r="K33" s="97">
        <f t="shared" si="14"/>
        <v>0</v>
      </c>
      <c r="P33" s="92"/>
    </row>
    <row r="34" spans="1:16" ht="14.25" customHeight="1">
      <c r="A34" s="249" t="e">
        <f t="shared" si="5"/>
        <v>#REF!</v>
      </c>
      <c r="B34" s="249" t="s">
        <v>711</v>
      </c>
      <c r="C34" s="249">
        <f t="shared" si="6"/>
        <v>0</v>
      </c>
      <c r="D34" s="249">
        <f t="shared" si="7"/>
        <v>1000</v>
      </c>
      <c r="E34" s="97">
        <f t="shared" ref="E34:K34" si="15">$C$34*$D$34*E22</f>
        <v>0</v>
      </c>
      <c r="F34" s="97">
        <f t="shared" si="15"/>
        <v>0</v>
      </c>
      <c r="G34" s="97">
        <f t="shared" si="15"/>
        <v>0</v>
      </c>
      <c r="H34" s="97">
        <f t="shared" si="15"/>
        <v>0</v>
      </c>
      <c r="I34" s="97">
        <f t="shared" si="15"/>
        <v>0</v>
      </c>
      <c r="J34" s="97">
        <f t="shared" si="15"/>
        <v>0</v>
      </c>
      <c r="K34" s="97">
        <f t="shared" si="15"/>
        <v>0</v>
      </c>
      <c r="P34" s="92"/>
    </row>
    <row r="35" spans="1:16" ht="14.25" customHeight="1">
      <c r="A35" s="249" t="str">
        <f t="shared" si="5"/>
        <v>BUCKET ELEVATOR TO FEED MAGNETIC SEPARATOR</v>
      </c>
      <c r="B35" s="249" t="s">
        <v>711</v>
      </c>
      <c r="C35" s="249">
        <f t="shared" si="6"/>
        <v>0</v>
      </c>
      <c r="D35" s="249">
        <f t="shared" si="7"/>
        <v>800</v>
      </c>
      <c r="E35" s="97">
        <f t="shared" ref="E35:K35" si="16">$C$35*$D$35*E22</f>
        <v>0</v>
      </c>
      <c r="F35" s="97">
        <f t="shared" si="16"/>
        <v>0</v>
      </c>
      <c r="G35" s="97">
        <f t="shared" si="16"/>
        <v>0</v>
      </c>
      <c r="H35" s="97">
        <f t="shared" si="16"/>
        <v>0</v>
      </c>
      <c r="I35" s="97">
        <f t="shared" si="16"/>
        <v>0</v>
      </c>
      <c r="J35" s="97">
        <f t="shared" si="16"/>
        <v>0</v>
      </c>
      <c r="K35" s="97">
        <f t="shared" si="16"/>
        <v>0</v>
      </c>
      <c r="P35" s="92"/>
    </row>
    <row r="36" spans="1:16" ht="14.25" customHeight="1">
      <c r="A36" s="249">
        <f t="shared" si="5"/>
        <v>0</v>
      </c>
      <c r="B36" s="98"/>
      <c r="C36" s="249">
        <f t="shared" si="6"/>
        <v>0</v>
      </c>
      <c r="D36" s="249">
        <f t="shared" si="7"/>
        <v>0</v>
      </c>
      <c r="E36" s="97">
        <f t="shared" ref="E36:K36" si="17">$C$36*$D$36*E22</f>
        <v>0</v>
      </c>
      <c r="F36" s="97">
        <f t="shared" si="17"/>
        <v>0</v>
      </c>
      <c r="G36" s="97">
        <f t="shared" si="17"/>
        <v>0</v>
      </c>
      <c r="H36" s="97">
        <f t="shared" si="17"/>
        <v>0</v>
      </c>
      <c r="I36" s="97">
        <f t="shared" si="17"/>
        <v>0</v>
      </c>
      <c r="J36" s="97">
        <f t="shared" si="17"/>
        <v>0</v>
      </c>
      <c r="K36" s="97">
        <f t="shared" si="17"/>
        <v>0</v>
      </c>
      <c r="P36" s="92"/>
    </row>
    <row r="37" spans="1:16" ht="14.25" customHeight="1">
      <c r="A37" s="98" t="s">
        <v>403</v>
      </c>
      <c r="B37" s="98"/>
      <c r="C37" s="98"/>
      <c r="D37" s="98"/>
      <c r="E37" s="97">
        <f t="shared" ref="E37:K37" si="18">SUM(E27:E36)</f>
        <v>0</v>
      </c>
      <c r="F37" s="97">
        <f t="shared" si="18"/>
        <v>0</v>
      </c>
      <c r="G37" s="97">
        <f t="shared" si="18"/>
        <v>0</v>
      </c>
      <c r="H37" s="97">
        <f t="shared" si="18"/>
        <v>0</v>
      </c>
      <c r="I37" s="97">
        <f t="shared" si="18"/>
        <v>0</v>
      </c>
      <c r="J37" s="97">
        <f t="shared" si="18"/>
        <v>0</v>
      </c>
      <c r="K37" s="97">
        <f t="shared" si="18"/>
        <v>0</v>
      </c>
      <c r="P37" s="92"/>
    </row>
    <row r="38" spans="1:16" ht="14.25" customHeight="1">
      <c r="A38" s="56"/>
      <c r="B38" s="56"/>
      <c r="C38" s="56"/>
      <c r="D38" s="56"/>
      <c r="E38" s="97"/>
      <c r="F38" s="97"/>
      <c r="G38" s="97"/>
      <c r="H38" s="97"/>
      <c r="I38" s="97"/>
      <c r="J38" s="97"/>
      <c r="K38" s="97"/>
      <c r="P38" s="92"/>
    </row>
    <row r="39" spans="1:16" ht="14.25" customHeight="1">
      <c r="A39" s="98" t="s">
        <v>636</v>
      </c>
      <c r="B39" s="98"/>
      <c r="C39" s="98"/>
      <c r="D39" s="98"/>
      <c r="E39" s="97"/>
      <c r="F39" s="97"/>
      <c r="G39" s="97"/>
      <c r="H39" s="97"/>
      <c r="I39" s="97"/>
      <c r="J39" s="97"/>
      <c r="K39" s="97"/>
      <c r="P39" s="92"/>
    </row>
    <row r="40" spans="1:16" ht="14.25" customHeight="1">
      <c r="A40" s="98" t="s">
        <v>712</v>
      </c>
      <c r="B40" s="98"/>
      <c r="C40" s="98"/>
      <c r="D40" s="98"/>
      <c r="E40" s="97"/>
      <c r="F40" s="97"/>
      <c r="G40" s="97"/>
      <c r="H40" s="97"/>
      <c r="I40" s="97"/>
      <c r="J40" s="97"/>
      <c r="K40" s="97"/>
    </row>
    <row r="41" spans="1:16" ht="14.25" customHeight="1">
      <c r="A41" s="56" t="s">
        <v>713</v>
      </c>
      <c r="B41" s="56" t="s">
        <v>714</v>
      </c>
      <c r="C41" s="56">
        <f>SUM(J8:J16)</f>
        <v>0</v>
      </c>
      <c r="D41" s="58">
        <v>100</v>
      </c>
      <c r="E41" s="97">
        <f t="shared" ref="E41:K41" si="19">$C$41*$D$41*E22</f>
        <v>0</v>
      </c>
      <c r="F41" s="97">
        <f t="shared" si="19"/>
        <v>0</v>
      </c>
      <c r="G41" s="97">
        <f t="shared" si="19"/>
        <v>0</v>
      </c>
      <c r="H41" s="97">
        <f t="shared" si="19"/>
        <v>0</v>
      </c>
      <c r="I41" s="97">
        <f t="shared" si="19"/>
        <v>0</v>
      </c>
      <c r="J41" s="97">
        <f t="shared" si="19"/>
        <v>0</v>
      </c>
      <c r="K41" s="97">
        <f t="shared" si="19"/>
        <v>0</v>
      </c>
    </row>
    <row r="42" spans="1:16" ht="14.25" customHeight="1">
      <c r="A42" s="56" t="s">
        <v>715</v>
      </c>
      <c r="B42" s="56" t="s">
        <v>716</v>
      </c>
      <c r="C42" s="56">
        <f>SUM(M8:M16)</f>
        <v>0</v>
      </c>
      <c r="D42" s="58">
        <v>300</v>
      </c>
      <c r="E42" s="97">
        <f t="shared" ref="E42:K42" si="20">$C$42*$D$42*E22</f>
        <v>0</v>
      </c>
      <c r="F42" s="97">
        <f t="shared" si="20"/>
        <v>0</v>
      </c>
      <c r="G42" s="97">
        <f t="shared" si="20"/>
        <v>0</v>
      </c>
      <c r="H42" s="97">
        <f t="shared" si="20"/>
        <v>0</v>
      </c>
      <c r="I42" s="97">
        <f t="shared" si="20"/>
        <v>0</v>
      </c>
      <c r="J42" s="97">
        <f t="shared" si="20"/>
        <v>0</v>
      </c>
      <c r="K42" s="97">
        <f t="shared" si="20"/>
        <v>0</v>
      </c>
    </row>
    <row r="43" spans="1:16" ht="14.25" customHeight="1">
      <c r="A43" s="56"/>
      <c r="B43" s="56"/>
      <c r="C43" s="58"/>
      <c r="D43" s="58"/>
      <c r="E43" s="97"/>
      <c r="F43" s="97"/>
      <c r="G43" s="97"/>
      <c r="H43" s="97"/>
      <c r="I43" s="97"/>
      <c r="J43" s="97"/>
      <c r="K43" s="97"/>
    </row>
    <row r="44" spans="1:16" ht="14.25" customHeight="1">
      <c r="A44" s="56"/>
      <c r="B44" s="56"/>
      <c r="C44" s="58"/>
      <c r="D44" s="58"/>
      <c r="E44" s="97"/>
      <c r="F44" s="97"/>
      <c r="G44" s="97"/>
      <c r="H44" s="97"/>
      <c r="I44" s="97"/>
      <c r="J44" s="97"/>
      <c r="K44" s="97"/>
    </row>
    <row r="45" spans="1:16" ht="14.25" customHeight="1">
      <c r="A45" s="56"/>
      <c r="B45" s="56"/>
      <c r="C45" s="58"/>
      <c r="D45" s="58"/>
      <c r="E45" s="97"/>
      <c r="F45" s="97"/>
      <c r="G45" s="97"/>
      <c r="H45" s="97"/>
      <c r="I45" s="97"/>
      <c r="J45" s="97"/>
      <c r="K45" s="97"/>
    </row>
    <row r="46" spans="1:16" ht="14.25" customHeight="1">
      <c r="A46" s="56"/>
      <c r="B46" s="56"/>
      <c r="C46" s="58"/>
      <c r="D46" s="58"/>
      <c r="E46" s="97"/>
      <c r="F46" s="97"/>
      <c r="G46" s="97"/>
      <c r="H46" s="97"/>
      <c r="I46" s="97"/>
      <c r="J46" s="97"/>
      <c r="K46" s="97"/>
    </row>
    <row r="47" spans="1:16" ht="14.25" customHeight="1">
      <c r="A47" s="98" t="s">
        <v>405</v>
      </c>
      <c r="B47" s="98"/>
      <c r="C47" s="62"/>
      <c r="D47" s="62"/>
      <c r="E47" s="99">
        <f t="shared" ref="E47:K47" si="21">SUM(E41:E46)</f>
        <v>0</v>
      </c>
      <c r="F47" s="99">
        <f t="shared" si="21"/>
        <v>0</v>
      </c>
      <c r="G47" s="99">
        <f t="shared" si="21"/>
        <v>0</v>
      </c>
      <c r="H47" s="99">
        <f t="shared" si="21"/>
        <v>0</v>
      </c>
      <c r="I47" s="99">
        <f t="shared" si="21"/>
        <v>0</v>
      </c>
      <c r="J47" s="99">
        <f t="shared" si="21"/>
        <v>0</v>
      </c>
      <c r="K47" s="99">
        <f t="shared" si="21"/>
        <v>0</v>
      </c>
    </row>
    <row r="48" spans="1:16" ht="14.25" customHeight="1">
      <c r="A48" s="98"/>
      <c r="B48" s="98"/>
      <c r="C48" s="62"/>
      <c r="D48" s="62"/>
      <c r="E48" s="99"/>
      <c r="F48" s="99"/>
      <c r="G48" s="99"/>
      <c r="H48" s="99"/>
      <c r="I48" s="99"/>
      <c r="J48" s="99"/>
      <c r="K48" s="99"/>
    </row>
    <row r="49" spans="1:12" ht="14.25" customHeight="1">
      <c r="A49" s="313" t="s">
        <v>406</v>
      </c>
      <c r="B49" s="313"/>
      <c r="C49" s="320"/>
      <c r="D49" s="320"/>
      <c r="E49" s="97"/>
      <c r="F49" s="97"/>
      <c r="G49" s="97"/>
      <c r="H49" s="97"/>
      <c r="I49" s="97"/>
      <c r="J49" s="97"/>
      <c r="K49" s="97"/>
    </row>
    <row r="50" spans="1:12" ht="14.25" customHeight="1">
      <c r="A50" s="249" t="s">
        <v>717</v>
      </c>
      <c r="B50" s="56" t="s">
        <v>212</v>
      </c>
      <c r="C50" s="320"/>
      <c r="D50" s="321"/>
      <c r="E50" s="97">
        <f t="shared" ref="E50:K50" si="22">$C50*$D50*12*E$22</f>
        <v>0</v>
      </c>
      <c r="F50" s="97">
        <f t="shared" si="22"/>
        <v>0</v>
      </c>
      <c r="G50" s="97">
        <f t="shared" si="22"/>
        <v>0</v>
      </c>
      <c r="H50" s="97">
        <f t="shared" si="22"/>
        <v>0</v>
      </c>
      <c r="I50" s="97">
        <f t="shared" si="22"/>
        <v>0</v>
      </c>
      <c r="J50" s="97">
        <f t="shared" si="22"/>
        <v>0</v>
      </c>
      <c r="K50" s="97">
        <f t="shared" si="22"/>
        <v>0</v>
      </c>
    </row>
    <row r="51" spans="1:12" ht="14.25" customHeight="1">
      <c r="A51" s="249"/>
      <c r="B51" s="249"/>
      <c r="C51" s="320"/>
      <c r="D51" s="321"/>
      <c r="E51" s="97"/>
      <c r="F51" s="97"/>
      <c r="G51" s="97"/>
      <c r="H51" s="97"/>
      <c r="I51" s="97"/>
      <c r="J51" s="97"/>
      <c r="K51" s="97"/>
    </row>
    <row r="52" spans="1:12" ht="14.25" customHeight="1">
      <c r="A52" s="98" t="s">
        <v>408</v>
      </c>
      <c r="B52" s="98"/>
      <c r="C52" s="98"/>
      <c r="D52" s="98"/>
      <c r="E52" s="99">
        <f t="shared" ref="E52:K52" si="23">SUM(E50:E51)</f>
        <v>0</v>
      </c>
      <c r="F52" s="99">
        <f t="shared" si="23"/>
        <v>0</v>
      </c>
      <c r="G52" s="99">
        <f t="shared" si="23"/>
        <v>0</v>
      </c>
      <c r="H52" s="99">
        <f t="shared" si="23"/>
        <v>0</v>
      </c>
      <c r="I52" s="99">
        <f t="shared" si="23"/>
        <v>0</v>
      </c>
      <c r="J52" s="99">
        <f t="shared" si="23"/>
        <v>0</v>
      </c>
      <c r="K52" s="99">
        <f t="shared" si="23"/>
        <v>0</v>
      </c>
    </row>
    <row r="53" spans="1:12" ht="14.25" customHeight="1">
      <c r="A53" s="98" t="s">
        <v>648</v>
      </c>
      <c r="B53" s="98"/>
      <c r="C53" s="98"/>
      <c r="D53" s="98"/>
      <c r="E53" s="99">
        <f t="shared" ref="E53:K53" si="24">E47+E52</f>
        <v>0</v>
      </c>
      <c r="F53" s="99">
        <f t="shared" si="24"/>
        <v>0</v>
      </c>
      <c r="G53" s="99">
        <f t="shared" si="24"/>
        <v>0</v>
      </c>
      <c r="H53" s="99">
        <f t="shared" si="24"/>
        <v>0</v>
      </c>
      <c r="I53" s="99">
        <f t="shared" si="24"/>
        <v>0</v>
      </c>
      <c r="J53" s="99">
        <f t="shared" si="24"/>
        <v>0</v>
      </c>
      <c r="K53" s="99">
        <f t="shared" si="24"/>
        <v>0</v>
      </c>
    </row>
    <row r="54" spans="1:12" ht="14.25" customHeight="1">
      <c r="A54" s="56"/>
      <c r="B54" s="56"/>
      <c r="C54" s="56"/>
      <c r="D54" s="56"/>
      <c r="E54" s="97"/>
      <c r="F54" s="97"/>
      <c r="G54" s="97"/>
      <c r="H54" s="97"/>
      <c r="I54" s="97"/>
      <c r="J54" s="97"/>
      <c r="K54" s="97"/>
    </row>
    <row r="55" spans="1:12" ht="14.25" customHeight="1">
      <c r="A55" s="98" t="s">
        <v>718</v>
      </c>
      <c r="B55" s="98"/>
      <c r="C55" s="98"/>
      <c r="D55" s="98"/>
      <c r="E55" s="99">
        <f t="shared" ref="E55:K55" si="25">E37-E53</f>
        <v>0</v>
      </c>
      <c r="F55" s="99">
        <f t="shared" si="25"/>
        <v>0</v>
      </c>
      <c r="G55" s="99">
        <f t="shared" si="25"/>
        <v>0</v>
      </c>
      <c r="H55" s="99">
        <f t="shared" si="25"/>
        <v>0</v>
      </c>
      <c r="I55" s="99">
        <f t="shared" si="25"/>
        <v>0</v>
      </c>
      <c r="J55" s="99">
        <f t="shared" si="25"/>
        <v>0</v>
      </c>
      <c r="K55" s="99">
        <f t="shared" si="25"/>
        <v>0</v>
      </c>
    </row>
    <row r="56" spans="1:12" ht="14.25" customHeight="1">
      <c r="A56" s="246"/>
      <c r="B56" s="246"/>
      <c r="C56" s="246"/>
      <c r="D56" s="246"/>
      <c r="E56" s="322"/>
      <c r="F56" s="322"/>
      <c r="G56" s="322"/>
      <c r="H56" s="322"/>
      <c r="I56" s="322"/>
      <c r="J56" s="322"/>
      <c r="K56" s="322"/>
    </row>
    <row r="57" spans="1:12" ht="14.25" customHeight="1">
      <c r="A57" s="92"/>
      <c r="B57" s="92"/>
      <c r="C57" s="246"/>
      <c r="D57" s="246"/>
      <c r="E57" s="322"/>
      <c r="F57" s="322"/>
      <c r="G57" s="322"/>
      <c r="H57" s="322"/>
      <c r="I57" s="322"/>
      <c r="J57" s="322"/>
      <c r="K57" s="322"/>
    </row>
    <row r="58" spans="1:12" ht="14.25" customHeight="1">
      <c r="A58" s="362" t="s">
        <v>719</v>
      </c>
      <c r="B58" s="360"/>
      <c r="C58" s="360"/>
      <c r="D58" s="360"/>
      <c r="E58" s="360"/>
      <c r="F58" s="360"/>
      <c r="G58" s="360"/>
      <c r="H58" s="360"/>
      <c r="I58" s="360"/>
      <c r="J58" s="360"/>
      <c r="K58" s="360"/>
      <c r="L58" s="360"/>
    </row>
    <row r="59" spans="1:12" ht="14.25" customHeight="1"/>
    <row r="60" spans="1:12" ht="14.25" customHeight="1"/>
    <row r="61" spans="1:12" ht="14.25" customHeight="1">
      <c r="A61" t="s">
        <v>361</v>
      </c>
    </row>
    <row r="62" spans="1:12" ht="14.25" customHeight="1">
      <c r="A62">
        <v>1</v>
      </c>
      <c r="B62" t="s">
        <v>652</v>
      </c>
    </row>
    <row r="63" spans="1:12" ht="14.25" customHeight="1">
      <c r="A63">
        <v>2</v>
      </c>
      <c r="B63" t="s">
        <v>653</v>
      </c>
    </row>
    <row r="64" spans="1:12" ht="14.25" customHeight="1">
      <c r="A64">
        <v>3</v>
      </c>
      <c r="B64" s="92" t="s">
        <v>654</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20:K20"/>
    <mergeCell ref="A3:L3"/>
    <mergeCell ref="A58:L58"/>
    <mergeCell ref="A4:L4"/>
  </mergeCells>
  <pageMargins left="0.7" right="0.7" top="0.75" bottom="0.75" header="0" footer="0"/>
  <pageSetup paperSize="9" scale="45"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285"/>
  <sheetViews>
    <sheetView workbookViewId="0"/>
  </sheetViews>
  <sheetFormatPr defaultColWidth="14.42578125" defaultRowHeight="15" customHeight="1"/>
  <cols>
    <col min="1" max="1" width="41.140625" customWidth="1"/>
    <col min="2" max="2" width="9.140625" customWidth="1"/>
    <col min="3" max="3" width="10.5703125" customWidth="1"/>
    <col min="4" max="4" width="13.42578125" customWidth="1"/>
    <col min="5" max="5" width="19.42578125" customWidth="1"/>
    <col min="6" max="10" width="14.7109375" customWidth="1"/>
    <col min="11" max="11" width="8.7109375" customWidth="1"/>
    <col min="12" max="12" width="27.140625" customWidth="1"/>
    <col min="13" max="17" width="8.7109375" customWidth="1"/>
    <col min="18" max="20" width="9.42578125" customWidth="1"/>
    <col min="21" max="21" width="8.7109375" customWidth="1"/>
    <col min="22" max="22" width="9.42578125" customWidth="1"/>
    <col min="23" max="23" width="8.7109375" customWidth="1"/>
  </cols>
  <sheetData>
    <row r="1" spans="1:9" ht="14.25" customHeight="1"/>
    <row r="2" spans="1:9" ht="14.25" customHeight="1">
      <c r="A2" s="359" t="s">
        <v>720</v>
      </c>
      <c r="B2" s="360"/>
      <c r="C2" s="360"/>
      <c r="D2" s="360"/>
      <c r="E2" s="360"/>
      <c r="F2" s="360"/>
      <c r="G2" s="360"/>
      <c r="H2" s="360"/>
      <c r="I2" s="360"/>
    </row>
    <row r="3" spans="1:9" ht="14.25" customHeight="1"/>
    <row r="4" spans="1:9" ht="14.25" customHeight="1">
      <c r="A4" s="92"/>
      <c r="B4" s="92"/>
      <c r="C4" s="92"/>
      <c r="D4" s="92"/>
      <c r="E4" s="92"/>
      <c r="F4" s="92"/>
      <c r="G4" s="92"/>
      <c r="H4" s="92"/>
      <c r="I4" s="92"/>
    </row>
    <row r="5" spans="1:9" ht="14.25" customHeight="1">
      <c r="A5" s="92"/>
      <c r="B5" s="92"/>
      <c r="C5" s="92"/>
      <c r="D5" s="92"/>
      <c r="E5" s="92"/>
      <c r="F5" s="92"/>
      <c r="G5" s="92"/>
      <c r="H5" s="92"/>
      <c r="I5" s="92"/>
    </row>
    <row r="6" spans="1:9" ht="14.25" customHeight="1">
      <c r="A6" s="95" t="s">
        <v>82</v>
      </c>
      <c r="B6" s="95"/>
      <c r="C6" s="96" t="s">
        <v>204</v>
      </c>
      <c r="D6" s="96" t="s">
        <v>205</v>
      </c>
      <c r="E6" s="96" t="s">
        <v>206</v>
      </c>
      <c r="F6" s="96" t="s">
        <v>207</v>
      </c>
      <c r="G6" s="96" t="s">
        <v>208</v>
      </c>
      <c r="H6" s="96" t="s">
        <v>209</v>
      </c>
      <c r="I6" s="96" t="s">
        <v>210</v>
      </c>
    </row>
    <row r="7" spans="1:9" ht="14.25" customHeight="1">
      <c r="A7" s="98" t="s">
        <v>721</v>
      </c>
      <c r="B7" s="56"/>
      <c r="C7" s="56"/>
      <c r="D7" s="56"/>
      <c r="E7" s="56"/>
      <c r="F7" s="56"/>
      <c r="G7" s="56"/>
      <c r="H7" s="56"/>
      <c r="I7" s="56"/>
    </row>
    <row r="8" spans="1:9" ht="14.25" customHeight="1">
      <c r="A8" s="98" t="s">
        <v>722</v>
      </c>
      <c r="B8" s="301"/>
      <c r="C8" s="323"/>
      <c r="D8" s="323"/>
      <c r="E8" s="323"/>
      <c r="F8" s="323"/>
      <c r="G8" s="323"/>
      <c r="H8" s="323"/>
      <c r="I8" s="323"/>
    </row>
    <row r="9" spans="1:9" ht="14.25" customHeight="1">
      <c r="A9" s="56" t="str">
        <f>'10.Grain Production details'!A92</f>
        <v>Soybean</v>
      </c>
      <c r="B9" s="301"/>
      <c r="C9" s="323">
        <f>'10.Grain Production details'!B92</f>
        <v>0</v>
      </c>
      <c r="D9" s="323">
        <f>'10.Grain Production details'!C92</f>
        <v>0</v>
      </c>
      <c r="E9" s="323">
        <f>'10.Grain Production details'!D92</f>
        <v>0</v>
      </c>
      <c r="F9" s="323">
        <f>'10.Grain Production details'!E92</f>
        <v>0</v>
      </c>
      <c r="G9" s="323">
        <f>'10.Grain Production details'!F92</f>
        <v>0</v>
      </c>
      <c r="H9" s="323">
        <f>'10.Grain Production details'!G92</f>
        <v>0</v>
      </c>
      <c r="I9" s="323">
        <f>'10.Grain Production details'!H92</f>
        <v>0</v>
      </c>
    </row>
    <row r="10" spans="1:9" ht="14.25" customHeight="1">
      <c r="A10" s="56" t="str">
        <f>'10.Grain Production details'!A93</f>
        <v>Red Gram/Tur</v>
      </c>
      <c r="B10" s="301"/>
      <c r="C10" s="323">
        <f>'10.Grain Production details'!B93</f>
        <v>0</v>
      </c>
      <c r="D10" s="323">
        <f>'10.Grain Production details'!C93</f>
        <v>0</v>
      </c>
      <c r="E10" s="323">
        <f>'10.Grain Production details'!D93</f>
        <v>0</v>
      </c>
      <c r="F10" s="323">
        <f>'10.Grain Production details'!E93</f>
        <v>0</v>
      </c>
      <c r="G10" s="323">
        <f>'10.Grain Production details'!F93</f>
        <v>0</v>
      </c>
      <c r="H10" s="323">
        <f>'10.Grain Production details'!G93</f>
        <v>0</v>
      </c>
      <c r="I10" s="323">
        <f>'10.Grain Production details'!H93</f>
        <v>0</v>
      </c>
    </row>
    <row r="11" spans="1:9" ht="14.25" customHeight="1">
      <c r="A11" s="56" t="str">
        <f>'10.Grain Production details'!A94</f>
        <v>Paddy/Rice</v>
      </c>
      <c r="B11" s="301"/>
      <c r="C11" s="323">
        <f>'10.Grain Production details'!B94</f>
        <v>0</v>
      </c>
      <c r="D11" s="323">
        <f>'10.Grain Production details'!C94</f>
        <v>0</v>
      </c>
      <c r="E11" s="323">
        <f>'10.Grain Production details'!D94</f>
        <v>0</v>
      </c>
      <c r="F11" s="323">
        <f>'10.Grain Production details'!E94</f>
        <v>0</v>
      </c>
      <c r="G11" s="323">
        <f>'10.Grain Production details'!F94</f>
        <v>0</v>
      </c>
      <c r="H11" s="323">
        <f>'10.Grain Production details'!G94</f>
        <v>0</v>
      </c>
      <c r="I11" s="323">
        <f>'10.Grain Production details'!H94</f>
        <v>0</v>
      </c>
    </row>
    <row r="12" spans="1:9" ht="14.25" customHeight="1">
      <c r="A12" s="56" t="str">
        <f>'10.Grain Production details'!A95</f>
        <v>Green Gram/ Moong</v>
      </c>
      <c r="B12" s="301"/>
      <c r="C12" s="323">
        <f>'10.Grain Production details'!B95</f>
        <v>0</v>
      </c>
      <c r="D12" s="323">
        <f>'10.Grain Production details'!C95</f>
        <v>0</v>
      </c>
      <c r="E12" s="323">
        <f>'10.Grain Production details'!D95</f>
        <v>0</v>
      </c>
      <c r="F12" s="323">
        <f>'10.Grain Production details'!E95</f>
        <v>0</v>
      </c>
      <c r="G12" s="323">
        <f>'10.Grain Production details'!F95</f>
        <v>0</v>
      </c>
      <c r="H12" s="323">
        <f>'10.Grain Production details'!G95</f>
        <v>0</v>
      </c>
      <c r="I12" s="323">
        <f>'10.Grain Production details'!H95</f>
        <v>0</v>
      </c>
    </row>
    <row r="13" spans="1:9" ht="14.25" customHeight="1">
      <c r="A13" s="56" t="str">
        <f>'10.Grain Production details'!A96</f>
        <v>Maize</v>
      </c>
      <c r="B13" s="301"/>
      <c r="C13" s="323">
        <f>'10.Grain Production details'!B96</f>
        <v>0</v>
      </c>
      <c r="D13" s="323">
        <f>'10.Grain Production details'!C96</f>
        <v>0</v>
      </c>
      <c r="E13" s="323">
        <f>'10.Grain Production details'!D96</f>
        <v>0</v>
      </c>
      <c r="F13" s="323">
        <f>'10.Grain Production details'!E96</f>
        <v>0</v>
      </c>
      <c r="G13" s="323">
        <f>'10.Grain Production details'!F96</f>
        <v>0</v>
      </c>
      <c r="H13" s="323">
        <f>'10.Grain Production details'!G96</f>
        <v>0</v>
      </c>
      <c r="I13" s="323">
        <f>'10.Grain Production details'!H96</f>
        <v>0</v>
      </c>
    </row>
    <row r="14" spans="1:9" ht="14.25" customHeight="1">
      <c r="A14" s="56" t="str">
        <f>'10.Grain Production details'!A97</f>
        <v>Black Gram/Udid</v>
      </c>
      <c r="B14" s="301"/>
      <c r="C14" s="323">
        <f>'10.Grain Production details'!B97</f>
        <v>0</v>
      </c>
      <c r="D14" s="323">
        <f>'10.Grain Production details'!C97</f>
        <v>0</v>
      </c>
      <c r="E14" s="323">
        <f>'10.Grain Production details'!D97</f>
        <v>0</v>
      </c>
      <c r="F14" s="323">
        <f>'10.Grain Production details'!E97</f>
        <v>0</v>
      </c>
      <c r="G14" s="323">
        <f>'10.Grain Production details'!F97</f>
        <v>0</v>
      </c>
      <c r="H14" s="323">
        <f>'10.Grain Production details'!G97</f>
        <v>0</v>
      </c>
      <c r="I14" s="323">
        <f>'10.Grain Production details'!H97</f>
        <v>0</v>
      </c>
    </row>
    <row r="15" spans="1:9" ht="14.25" customHeight="1">
      <c r="A15" s="56" t="str">
        <f>'10.Grain Production details'!A98</f>
        <v>Bajra</v>
      </c>
      <c r="B15" s="301"/>
      <c r="C15" s="323">
        <f>'10.Grain Production details'!B98</f>
        <v>0</v>
      </c>
      <c r="D15" s="323">
        <f>'10.Grain Production details'!C98</f>
        <v>0</v>
      </c>
      <c r="E15" s="323">
        <f>'10.Grain Production details'!D98</f>
        <v>0</v>
      </c>
      <c r="F15" s="323">
        <f>'10.Grain Production details'!E98</f>
        <v>0</v>
      </c>
      <c r="G15" s="323">
        <f>'10.Grain Production details'!F98</f>
        <v>0</v>
      </c>
      <c r="H15" s="323">
        <f>'10.Grain Production details'!G98</f>
        <v>0</v>
      </c>
      <c r="I15" s="323">
        <f>'10.Grain Production details'!H98</f>
        <v>0</v>
      </c>
    </row>
    <row r="16" spans="1:9" ht="14.25" customHeight="1">
      <c r="A16" s="56" t="str">
        <f>'10.Grain Production details'!A99</f>
        <v>Jawar</v>
      </c>
      <c r="B16" s="301"/>
      <c r="C16" s="323">
        <f>'10.Grain Production details'!B99</f>
        <v>0</v>
      </c>
      <c r="D16" s="323">
        <f>'10.Grain Production details'!C99</f>
        <v>0</v>
      </c>
      <c r="E16" s="323">
        <f>'10.Grain Production details'!D99</f>
        <v>0</v>
      </c>
      <c r="F16" s="323">
        <f>'10.Grain Production details'!E99</f>
        <v>0</v>
      </c>
      <c r="G16" s="323">
        <f>'10.Grain Production details'!F99</f>
        <v>0</v>
      </c>
      <c r="H16" s="323">
        <f>'10.Grain Production details'!G99</f>
        <v>0</v>
      </c>
      <c r="I16" s="323">
        <f>'10.Grain Production details'!H99</f>
        <v>0</v>
      </c>
    </row>
    <row r="17" spans="1:9" ht="14.25" customHeight="1">
      <c r="A17" s="98" t="s">
        <v>723</v>
      </c>
      <c r="B17" s="301"/>
      <c r="C17" s="323"/>
      <c r="D17" s="323"/>
      <c r="E17" s="323"/>
      <c r="F17" s="323"/>
      <c r="G17" s="323"/>
      <c r="H17" s="323"/>
      <c r="I17" s="323"/>
    </row>
    <row r="18" spans="1:9" ht="14.25" customHeight="1">
      <c r="A18" s="56" t="str">
        <f>'10.Grain Production details'!A101</f>
        <v>Wheat</v>
      </c>
      <c r="B18" s="301"/>
      <c r="C18" s="323">
        <f>'10.Grain Production details'!B101</f>
        <v>0</v>
      </c>
      <c r="D18" s="323">
        <f>'10.Grain Production details'!C101</f>
        <v>0</v>
      </c>
      <c r="E18" s="323">
        <f>'10.Grain Production details'!D101</f>
        <v>0</v>
      </c>
      <c r="F18" s="323">
        <f>'10.Grain Production details'!E101</f>
        <v>0</v>
      </c>
      <c r="G18" s="323">
        <f>'10.Grain Production details'!F101</f>
        <v>0</v>
      </c>
      <c r="H18" s="323">
        <f>'10.Grain Production details'!G101</f>
        <v>0</v>
      </c>
      <c r="I18" s="323">
        <f>'10.Grain Production details'!H101</f>
        <v>0</v>
      </c>
    </row>
    <row r="19" spans="1:9" ht="14.25" customHeight="1">
      <c r="A19" s="56" t="str">
        <f>'10.Grain Production details'!A102</f>
        <v>Bengal Gram/Channa</v>
      </c>
      <c r="B19" s="301"/>
      <c r="C19" s="323">
        <f>'10.Grain Production details'!B102</f>
        <v>0</v>
      </c>
      <c r="D19" s="323">
        <f>'10.Grain Production details'!C102</f>
        <v>0</v>
      </c>
      <c r="E19" s="323">
        <f>'10.Grain Production details'!D102</f>
        <v>0</v>
      </c>
      <c r="F19" s="323">
        <f>'10.Grain Production details'!E102</f>
        <v>0</v>
      </c>
      <c r="G19" s="323">
        <f>'10.Grain Production details'!F102</f>
        <v>0</v>
      </c>
      <c r="H19" s="323">
        <f>'10.Grain Production details'!G102</f>
        <v>0</v>
      </c>
      <c r="I19" s="323">
        <f>'10.Grain Production details'!H102</f>
        <v>0</v>
      </c>
    </row>
    <row r="20" spans="1:9" ht="14.25" customHeight="1">
      <c r="A20" s="56" t="str">
        <f>'10.Grain Production details'!A103</f>
        <v>Jawar</v>
      </c>
      <c r="B20" s="301"/>
      <c r="C20" s="323">
        <f>'10.Grain Production details'!B103</f>
        <v>0</v>
      </c>
      <c r="D20" s="323">
        <f>'10.Grain Production details'!C103</f>
        <v>0</v>
      </c>
      <c r="E20" s="323">
        <f>'10.Grain Production details'!D103</f>
        <v>0</v>
      </c>
      <c r="F20" s="323">
        <f>'10.Grain Production details'!E103</f>
        <v>0</v>
      </c>
      <c r="G20" s="323">
        <f>'10.Grain Production details'!F103</f>
        <v>0</v>
      </c>
      <c r="H20" s="323">
        <f>'10.Grain Production details'!G103</f>
        <v>0</v>
      </c>
      <c r="I20" s="323">
        <f>'10.Grain Production details'!H103</f>
        <v>0</v>
      </c>
    </row>
    <row r="21" spans="1:9" ht="14.25" customHeight="1">
      <c r="A21" s="56" t="str">
        <f>'10.Grain Production details'!A104</f>
        <v>Maize</v>
      </c>
      <c r="B21" s="301"/>
      <c r="C21" s="323">
        <f>'10.Grain Production details'!B104</f>
        <v>0</v>
      </c>
      <c r="D21" s="323">
        <f>'10.Grain Production details'!C104</f>
        <v>0</v>
      </c>
      <c r="E21" s="323">
        <f>'10.Grain Production details'!D104</f>
        <v>0</v>
      </c>
      <c r="F21" s="323">
        <f>'10.Grain Production details'!E104</f>
        <v>0</v>
      </c>
      <c r="G21" s="323">
        <f>'10.Grain Production details'!F104</f>
        <v>0</v>
      </c>
      <c r="H21" s="323">
        <f>'10.Grain Production details'!G104</f>
        <v>0</v>
      </c>
      <c r="I21" s="323">
        <f>'10.Grain Production details'!H104</f>
        <v>0</v>
      </c>
    </row>
    <row r="22" spans="1:9" ht="14.25" customHeight="1">
      <c r="A22" s="56" t="str">
        <f>'10.Grain Production details'!A105</f>
        <v>Safflower</v>
      </c>
      <c r="B22" s="301"/>
      <c r="C22" s="323">
        <f>'10.Grain Production details'!B105</f>
        <v>0</v>
      </c>
      <c r="D22" s="323">
        <f>'10.Grain Production details'!C105</f>
        <v>0</v>
      </c>
      <c r="E22" s="323">
        <f>'10.Grain Production details'!D105</f>
        <v>0</v>
      </c>
      <c r="F22" s="323">
        <f>'10.Grain Production details'!E105</f>
        <v>0</v>
      </c>
      <c r="G22" s="323">
        <f>'10.Grain Production details'!F105</f>
        <v>0</v>
      </c>
      <c r="H22" s="323">
        <f>'10.Grain Production details'!G105</f>
        <v>0</v>
      </c>
      <c r="I22" s="323">
        <f>'10.Grain Production details'!H105</f>
        <v>0</v>
      </c>
    </row>
    <row r="23" spans="1:9" ht="14.25" customHeight="1">
      <c r="A23" s="56">
        <f>'10.Grain Production details'!A106</f>
        <v>0</v>
      </c>
      <c r="B23" s="301"/>
      <c r="C23" s="323">
        <f>'10.Grain Production details'!B106</f>
        <v>0</v>
      </c>
      <c r="D23" s="323">
        <f>'10.Grain Production details'!C106</f>
        <v>0</v>
      </c>
      <c r="E23" s="323">
        <f>'10.Grain Production details'!D106</f>
        <v>0</v>
      </c>
      <c r="F23" s="323">
        <f>'10.Grain Production details'!E106</f>
        <v>0</v>
      </c>
      <c r="G23" s="323">
        <f>'10.Grain Production details'!F106</f>
        <v>0</v>
      </c>
      <c r="H23" s="323">
        <f>'10.Grain Production details'!G106</f>
        <v>0</v>
      </c>
      <c r="I23" s="323">
        <f>'10.Grain Production details'!H106</f>
        <v>0</v>
      </c>
    </row>
    <row r="24" spans="1:9" ht="14.25" customHeight="1">
      <c r="A24" s="56">
        <f>'10.Grain Production details'!A107</f>
        <v>0</v>
      </c>
      <c r="B24" s="301"/>
      <c r="C24" s="323">
        <f>'10.Grain Production details'!B107</f>
        <v>0</v>
      </c>
      <c r="D24" s="323">
        <f>'10.Grain Production details'!C107</f>
        <v>0</v>
      </c>
      <c r="E24" s="323">
        <f>'10.Grain Production details'!D107</f>
        <v>0</v>
      </c>
      <c r="F24" s="323">
        <f>'10.Grain Production details'!E107</f>
        <v>0</v>
      </c>
      <c r="G24" s="323">
        <f>'10.Grain Production details'!F107</f>
        <v>0</v>
      </c>
      <c r="H24" s="323">
        <f>'10.Grain Production details'!G107</f>
        <v>0</v>
      </c>
      <c r="I24" s="323">
        <f>'10.Grain Production details'!H107</f>
        <v>0</v>
      </c>
    </row>
    <row r="25" spans="1:9" ht="14.25" customHeight="1">
      <c r="A25" s="56">
        <f>'10.Grain Production details'!A108</f>
        <v>0</v>
      </c>
      <c r="B25" s="301"/>
      <c r="C25" s="323">
        <f>'10.Grain Production details'!B108</f>
        <v>0</v>
      </c>
      <c r="D25" s="323">
        <f>'10.Grain Production details'!C108</f>
        <v>0</v>
      </c>
      <c r="E25" s="323">
        <f>'10.Grain Production details'!D108</f>
        <v>0</v>
      </c>
      <c r="F25" s="323">
        <f>'10.Grain Production details'!E108</f>
        <v>0</v>
      </c>
      <c r="G25" s="323">
        <f>'10.Grain Production details'!F108</f>
        <v>0</v>
      </c>
      <c r="H25" s="323">
        <f>'10.Grain Production details'!G108</f>
        <v>0</v>
      </c>
      <c r="I25" s="323">
        <f>'10.Grain Production details'!H108</f>
        <v>0</v>
      </c>
    </row>
    <row r="26" spans="1:9" ht="14.25" customHeight="1">
      <c r="A26" s="98" t="str">
        <f>'10.Grain Production details'!A33</f>
        <v>Summer</v>
      </c>
      <c r="B26" s="301"/>
      <c r="C26" s="323"/>
      <c r="D26" s="323"/>
      <c r="E26" s="323"/>
      <c r="F26" s="323"/>
      <c r="G26" s="323"/>
      <c r="H26" s="323"/>
      <c r="I26" s="323"/>
    </row>
    <row r="27" spans="1:9" ht="14.25" customHeight="1">
      <c r="A27" s="56" t="str">
        <f>'10.Grain Production details'!A109</f>
        <v>Groundnut</v>
      </c>
      <c r="B27" s="301"/>
      <c r="C27" s="323">
        <f>'10.Grain Production details'!B110</f>
        <v>0</v>
      </c>
      <c r="D27" s="323">
        <f>'10.Grain Production details'!C110</f>
        <v>0</v>
      </c>
      <c r="E27" s="323">
        <f>'10.Grain Production details'!D110</f>
        <v>0</v>
      </c>
      <c r="F27" s="323">
        <f>'10.Grain Production details'!E110</f>
        <v>0</v>
      </c>
      <c r="G27" s="323">
        <f>'10.Grain Production details'!F110</f>
        <v>0</v>
      </c>
      <c r="H27" s="323">
        <f>'10.Grain Production details'!G110</f>
        <v>0</v>
      </c>
      <c r="I27" s="323">
        <f>'10.Grain Production details'!H110</f>
        <v>0</v>
      </c>
    </row>
    <row r="28" spans="1:9" ht="14.25" customHeight="1">
      <c r="A28" s="56">
        <f>'10.Grain Production details'!A110</f>
        <v>0</v>
      </c>
      <c r="B28" s="301"/>
      <c r="C28" s="323">
        <f>'10.Grain Production details'!B111</f>
        <v>0</v>
      </c>
      <c r="D28" s="323">
        <f>'10.Grain Production details'!C111</f>
        <v>0</v>
      </c>
      <c r="E28" s="323">
        <f>'10.Grain Production details'!D111</f>
        <v>0</v>
      </c>
      <c r="F28" s="323">
        <f>'10.Grain Production details'!E111</f>
        <v>0</v>
      </c>
      <c r="G28" s="323">
        <f>'10.Grain Production details'!F111</f>
        <v>0</v>
      </c>
      <c r="H28" s="323">
        <f>'10.Grain Production details'!G111</f>
        <v>0</v>
      </c>
      <c r="I28" s="323">
        <f>'10.Grain Production details'!H111</f>
        <v>0</v>
      </c>
    </row>
    <row r="29" spans="1:9" ht="14.25" customHeight="1">
      <c r="A29" s="56">
        <f>'10.Grain Production details'!A111</f>
        <v>0</v>
      </c>
      <c r="B29" s="301"/>
      <c r="C29" s="323">
        <f>'10.Grain Production details'!B112</f>
        <v>0</v>
      </c>
      <c r="D29" s="323">
        <f>'10.Grain Production details'!C112</f>
        <v>0</v>
      </c>
      <c r="E29" s="323">
        <f>'10.Grain Production details'!D112</f>
        <v>0</v>
      </c>
      <c r="F29" s="323">
        <f>'10.Grain Production details'!E112</f>
        <v>0</v>
      </c>
      <c r="G29" s="323">
        <f>'10.Grain Production details'!F112</f>
        <v>0</v>
      </c>
      <c r="H29" s="323">
        <f>'10.Grain Production details'!G112</f>
        <v>0</v>
      </c>
      <c r="I29" s="323">
        <f>'10.Grain Production details'!H112</f>
        <v>0</v>
      </c>
    </row>
    <row r="30" spans="1:9" ht="14.25" customHeight="1">
      <c r="A30" s="56">
        <f>'10.Grain Production details'!A112</f>
        <v>0</v>
      </c>
      <c r="B30" s="301"/>
      <c r="C30" s="323">
        <f>'10.Grain Production details'!B113</f>
        <v>0</v>
      </c>
      <c r="D30" s="323">
        <f>'10.Grain Production details'!C113</f>
        <v>0</v>
      </c>
      <c r="E30" s="323">
        <f>'10.Grain Production details'!D113</f>
        <v>0</v>
      </c>
      <c r="F30" s="323">
        <f>'10.Grain Production details'!E113</f>
        <v>0</v>
      </c>
      <c r="G30" s="323">
        <f>'10.Grain Production details'!F113</f>
        <v>0</v>
      </c>
      <c r="H30" s="323">
        <f>'10.Grain Production details'!G113</f>
        <v>0</v>
      </c>
      <c r="I30" s="323">
        <f>'10.Grain Production details'!H113</f>
        <v>0</v>
      </c>
    </row>
    <row r="31" spans="1:9" ht="14.25" customHeight="1">
      <c r="A31" s="56">
        <f>'10.Grain Production details'!A113</f>
        <v>0</v>
      </c>
      <c r="B31" s="301"/>
      <c r="C31" s="323">
        <f>'10.Grain Production details'!C114</f>
        <v>0</v>
      </c>
      <c r="D31" s="323">
        <f>'10.Grain Production details'!D114</f>
        <v>0</v>
      </c>
      <c r="E31" s="323">
        <f>'10.Grain Production details'!E114</f>
        <v>0</v>
      </c>
      <c r="F31" s="323">
        <f>'10.Grain Production details'!F114</f>
        <v>0</v>
      </c>
      <c r="G31" s="323">
        <f>'10.Grain Production details'!G114</f>
        <v>0</v>
      </c>
      <c r="H31" s="323">
        <f>'10.Grain Production details'!H114</f>
        <v>0</v>
      </c>
      <c r="I31" s="323">
        <f>'10.Grain Production details'!I114</f>
        <v>0</v>
      </c>
    </row>
    <row r="32" spans="1:9" ht="14.25" customHeight="1">
      <c r="A32" s="98" t="str">
        <f>'11.F&amp;V Crop Production details'!A1:H1</f>
        <v>Fruit  &amp; Vegetables Crop Production Details</v>
      </c>
      <c r="B32" s="301"/>
      <c r="C32" s="323"/>
      <c r="D32" s="323"/>
      <c r="E32" s="323"/>
      <c r="F32" s="323"/>
      <c r="G32" s="323"/>
      <c r="H32" s="323"/>
      <c r="I32" s="323"/>
    </row>
    <row r="33" spans="1:9" ht="14.25" customHeight="1">
      <c r="A33" s="56" t="str">
        <f>'11.F&amp;V Crop Production details'!A102</f>
        <v>Onion</v>
      </c>
      <c r="B33" s="301"/>
      <c r="C33" s="323">
        <f>'11.F&amp;V Crop Production details'!B102</f>
        <v>0</v>
      </c>
      <c r="D33" s="323">
        <f>'11.F&amp;V Crop Production details'!C102</f>
        <v>0</v>
      </c>
      <c r="E33" s="323">
        <f>'11.F&amp;V Crop Production details'!D102</f>
        <v>0</v>
      </c>
      <c r="F33" s="323">
        <f>'11.F&amp;V Crop Production details'!E102</f>
        <v>0</v>
      </c>
      <c r="G33" s="323">
        <f>'11.F&amp;V Crop Production details'!F102</f>
        <v>0</v>
      </c>
      <c r="H33" s="323">
        <f>'11.F&amp;V Crop Production details'!G102</f>
        <v>0</v>
      </c>
      <c r="I33" s="323">
        <f>'11.F&amp;V Crop Production details'!H102</f>
        <v>0</v>
      </c>
    </row>
    <row r="34" spans="1:9" ht="14.25" customHeight="1">
      <c r="A34" s="56" t="str">
        <f>'11.F&amp;V Crop Production details'!A103</f>
        <v>Tomato</v>
      </c>
      <c r="B34" s="301"/>
      <c r="C34" s="323">
        <f>'11.F&amp;V Crop Production details'!B103</f>
        <v>0</v>
      </c>
      <c r="D34" s="323">
        <f>'11.F&amp;V Crop Production details'!C103</f>
        <v>0</v>
      </c>
      <c r="E34" s="323">
        <f>'11.F&amp;V Crop Production details'!D103</f>
        <v>0</v>
      </c>
      <c r="F34" s="323">
        <f>'11.F&amp;V Crop Production details'!E103</f>
        <v>0</v>
      </c>
      <c r="G34" s="323">
        <f>'11.F&amp;V Crop Production details'!F103</f>
        <v>0</v>
      </c>
      <c r="H34" s="323">
        <f>'11.F&amp;V Crop Production details'!G103</f>
        <v>0</v>
      </c>
      <c r="I34" s="323">
        <f>'11.F&amp;V Crop Production details'!H103</f>
        <v>0</v>
      </c>
    </row>
    <row r="35" spans="1:9" ht="14.25" customHeight="1">
      <c r="A35" s="56" t="str">
        <f>'11.F&amp;V Crop Production details'!A104</f>
        <v>Okra</v>
      </c>
      <c r="B35" s="301"/>
      <c r="C35" s="323">
        <f>'11.F&amp;V Crop Production details'!B104</f>
        <v>0</v>
      </c>
      <c r="D35" s="323">
        <f>'11.F&amp;V Crop Production details'!C104</f>
        <v>0</v>
      </c>
      <c r="E35" s="323">
        <f>'11.F&amp;V Crop Production details'!D104</f>
        <v>0</v>
      </c>
      <c r="F35" s="323">
        <f>'11.F&amp;V Crop Production details'!E104</f>
        <v>0</v>
      </c>
      <c r="G35" s="323">
        <f>'11.F&amp;V Crop Production details'!F104</f>
        <v>0</v>
      </c>
      <c r="H35" s="323">
        <f>'11.F&amp;V Crop Production details'!G104</f>
        <v>0</v>
      </c>
      <c r="I35" s="323">
        <f>'11.F&amp;V Crop Production details'!H104</f>
        <v>0</v>
      </c>
    </row>
    <row r="36" spans="1:9" ht="14.25" customHeight="1">
      <c r="A36" s="56" t="str">
        <f>'11.F&amp;V Crop Production details'!A105</f>
        <v>Chilli</v>
      </c>
      <c r="B36" s="301"/>
      <c r="C36" s="323">
        <f>'11.F&amp;V Crop Production details'!B105</f>
        <v>0</v>
      </c>
      <c r="D36" s="323">
        <f>'11.F&amp;V Crop Production details'!C105</f>
        <v>0</v>
      </c>
      <c r="E36" s="323">
        <f>'11.F&amp;V Crop Production details'!D105</f>
        <v>0</v>
      </c>
      <c r="F36" s="323">
        <f>'11.F&amp;V Crop Production details'!E105</f>
        <v>0</v>
      </c>
      <c r="G36" s="323">
        <f>'11.F&amp;V Crop Production details'!F105</f>
        <v>0</v>
      </c>
      <c r="H36" s="323">
        <f>'11.F&amp;V Crop Production details'!G105</f>
        <v>0</v>
      </c>
      <c r="I36" s="323">
        <f>'11.F&amp;V Crop Production details'!H105</f>
        <v>0</v>
      </c>
    </row>
    <row r="37" spans="1:9" ht="14.25" customHeight="1">
      <c r="A37" s="56" t="str">
        <f>'11.F&amp;V Crop Production details'!A106</f>
        <v>Potato</v>
      </c>
      <c r="B37" s="301"/>
      <c r="C37" s="323">
        <f>'11.F&amp;V Crop Production details'!B106</f>
        <v>0</v>
      </c>
      <c r="D37" s="323">
        <f>'11.F&amp;V Crop Production details'!C106</f>
        <v>0</v>
      </c>
      <c r="E37" s="323">
        <f>'11.F&amp;V Crop Production details'!D106</f>
        <v>0</v>
      </c>
      <c r="F37" s="323">
        <f>'11.F&amp;V Crop Production details'!E106</f>
        <v>0</v>
      </c>
      <c r="G37" s="323">
        <f>'11.F&amp;V Crop Production details'!F106</f>
        <v>0</v>
      </c>
      <c r="H37" s="323">
        <f>'11.F&amp;V Crop Production details'!G106</f>
        <v>0</v>
      </c>
      <c r="I37" s="323">
        <f>'11.F&amp;V Crop Production details'!H106</f>
        <v>0</v>
      </c>
    </row>
    <row r="38" spans="1:9" ht="14.25" customHeight="1">
      <c r="A38" s="56">
        <f>'11.F&amp;V Crop Production details'!A107</f>
        <v>0</v>
      </c>
      <c r="B38" s="301"/>
      <c r="C38" s="323">
        <f>'11.F&amp;V Crop Production details'!B107</f>
        <v>0</v>
      </c>
      <c r="D38" s="323">
        <f>'11.F&amp;V Crop Production details'!C107</f>
        <v>0</v>
      </c>
      <c r="E38" s="323">
        <f>'11.F&amp;V Crop Production details'!D107</f>
        <v>0</v>
      </c>
      <c r="F38" s="323">
        <f>'11.F&amp;V Crop Production details'!E107</f>
        <v>0</v>
      </c>
      <c r="G38" s="323">
        <f>'11.F&amp;V Crop Production details'!F107</f>
        <v>0</v>
      </c>
      <c r="H38" s="323">
        <f>'11.F&amp;V Crop Production details'!G107</f>
        <v>0</v>
      </c>
      <c r="I38" s="323">
        <f>'11.F&amp;V Crop Production details'!H107</f>
        <v>0</v>
      </c>
    </row>
    <row r="39" spans="1:9" ht="14.25" customHeight="1">
      <c r="A39" s="56">
        <f>'11.F&amp;V Crop Production details'!A108</f>
        <v>0</v>
      </c>
      <c r="B39" s="301"/>
      <c r="C39" s="323">
        <f>'11.F&amp;V Crop Production details'!B108</f>
        <v>0</v>
      </c>
      <c r="D39" s="323">
        <f>'11.F&amp;V Crop Production details'!C108</f>
        <v>0</v>
      </c>
      <c r="E39" s="323">
        <f>'11.F&amp;V Crop Production details'!D108</f>
        <v>0</v>
      </c>
      <c r="F39" s="323">
        <f>'11.F&amp;V Crop Production details'!E108</f>
        <v>0</v>
      </c>
      <c r="G39" s="323">
        <f>'11.F&amp;V Crop Production details'!F108</f>
        <v>0</v>
      </c>
      <c r="H39" s="323">
        <f>'11.F&amp;V Crop Production details'!G108</f>
        <v>0</v>
      </c>
      <c r="I39" s="323">
        <f>'11.F&amp;V Crop Production details'!H108</f>
        <v>0</v>
      </c>
    </row>
    <row r="40" spans="1:9" ht="14.25" customHeight="1">
      <c r="A40" s="56">
        <f>'11.F&amp;V Crop Production details'!A109</f>
        <v>0</v>
      </c>
      <c r="B40" s="301"/>
      <c r="C40" s="323">
        <f>'11.F&amp;V Crop Production details'!B109</f>
        <v>0</v>
      </c>
      <c r="D40" s="323">
        <f>'11.F&amp;V Crop Production details'!C109</f>
        <v>0</v>
      </c>
      <c r="E40" s="323">
        <f>'11.F&amp;V Crop Production details'!D109</f>
        <v>0</v>
      </c>
      <c r="F40" s="323">
        <f>'11.F&amp;V Crop Production details'!E109</f>
        <v>0</v>
      </c>
      <c r="G40" s="323">
        <f>'11.F&amp;V Crop Production details'!F109</f>
        <v>0</v>
      </c>
      <c r="H40" s="323">
        <f>'11.F&amp;V Crop Production details'!G109</f>
        <v>0</v>
      </c>
      <c r="I40" s="323">
        <f>'11.F&amp;V Crop Production details'!H109</f>
        <v>0</v>
      </c>
    </row>
    <row r="41" spans="1:9" ht="14.25" customHeight="1">
      <c r="A41" s="56">
        <f>'11.F&amp;V Crop Production details'!A110</f>
        <v>0</v>
      </c>
      <c r="B41" s="301"/>
      <c r="C41" s="323">
        <f>'11.F&amp;V Crop Production details'!B110</f>
        <v>0</v>
      </c>
      <c r="D41" s="323">
        <f>'11.F&amp;V Crop Production details'!C110</f>
        <v>0</v>
      </c>
      <c r="E41" s="323">
        <f>'11.F&amp;V Crop Production details'!D110</f>
        <v>0</v>
      </c>
      <c r="F41" s="323">
        <f>'11.F&amp;V Crop Production details'!E110</f>
        <v>0</v>
      </c>
      <c r="G41" s="323">
        <f>'11.F&amp;V Crop Production details'!F110</f>
        <v>0</v>
      </c>
      <c r="H41" s="323">
        <f>'11.F&amp;V Crop Production details'!G110</f>
        <v>0</v>
      </c>
      <c r="I41" s="323">
        <f>'11.F&amp;V Crop Production details'!H110</f>
        <v>0</v>
      </c>
    </row>
    <row r="42" spans="1:9" ht="14.25" customHeight="1">
      <c r="A42" s="56" t="str">
        <f>'11.F&amp;V Crop Production details'!A111</f>
        <v>Onion</v>
      </c>
      <c r="B42" s="301"/>
      <c r="C42" s="323">
        <f>'11.F&amp;V Crop Production details'!B111</f>
        <v>0</v>
      </c>
      <c r="D42" s="323">
        <f>'11.F&amp;V Crop Production details'!C111</f>
        <v>0</v>
      </c>
      <c r="E42" s="323">
        <f>'11.F&amp;V Crop Production details'!D111</f>
        <v>0</v>
      </c>
      <c r="F42" s="323">
        <f>'11.F&amp;V Crop Production details'!E111</f>
        <v>0</v>
      </c>
      <c r="G42" s="323">
        <f>'11.F&amp;V Crop Production details'!F111</f>
        <v>0</v>
      </c>
      <c r="H42" s="323">
        <f>'11.F&amp;V Crop Production details'!G111</f>
        <v>0</v>
      </c>
      <c r="I42" s="323">
        <f>'11.F&amp;V Crop Production details'!H111</f>
        <v>0</v>
      </c>
    </row>
    <row r="43" spans="1:9" ht="14.25" customHeight="1">
      <c r="A43" s="56" t="str">
        <f>'11.F&amp;V Crop Production details'!A112</f>
        <v>Tomato</v>
      </c>
      <c r="B43" s="301"/>
      <c r="C43" s="323">
        <f>'11.F&amp;V Crop Production details'!B112</f>
        <v>0</v>
      </c>
      <c r="D43" s="323">
        <f>'11.F&amp;V Crop Production details'!C112</f>
        <v>0</v>
      </c>
      <c r="E43" s="323">
        <f>'11.F&amp;V Crop Production details'!D112</f>
        <v>0</v>
      </c>
      <c r="F43" s="323">
        <f>'11.F&amp;V Crop Production details'!E112</f>
        <v>0</v>
      </c>
      <c r="G43" s="323">
        <f>'11.F&amp;V Crop Production details'!F112</f>
        <v>0</v>
      </c>
      <c r="H43" s="323">
        <f>'11.F&amp;V Crop Production details'!G112</f>
        <v>0</v>
      </c>
      <c r="I43" s="323">
        <f>'11.F&amp;V Crop Production details'!H112</f>
        <v>0</v>
      </c>
    </row>
    <row r="44" spans="1:9" ht="14.25" customHeight="1">
      <c r="A44" s="56" t="str">
        <f>'11.F&amp;V Crop Production details'!A113</f>
        <v>Okra</v>
      </c>
      <c r="B44" s="301"/>
      <c r="C44" s="323">
        <f>'11.F&amp;V Crop Production details'!B113</f>
        <v>0</v>
      </c>
      <c r="D44" s="323">
        <f>'11.F&amp;V Crop Production details'!C113</f>
        <v>0</v>
      </c>
      <c r="E44" s="323">
        <f>'11.F&amp;V Crop Production details'!D113</f>
        <v>0</v>
      </c>
      <c r="F44" s="323">
        <f>'11.F&amp;V Crop Production details'!E113</f>
        <v>0</v>
      </c>
      <c r="G44" s="323">
        <f>'11.F&amp;V Crop Production details'!F113</f>
        <v>0</v>
      </c>
      <c r="H44" s="323">
        <f>'11.F&amp;V Crop Production details'!G113</f>
        <v>0</v>
      </c>
      <c r="I44" s="323">
        <f>'11.F&amp;V Crop Production details'!H113</f>
        <v>0</v>
      </c>
    </row>
    <row r="45" spans="1:9" ht="14.25" customHeight="1">
      <c r="A45" s="56" t="str">
        <f>'11.F&amp;V Crop Production details'!A114</f>
        <v>Chilli</v>
      </c>
      <c r="B45" s="301"/>
      <c r="C45" s="323">
        <f>'11.F&amp;V Crop Production details'!B114</f>
        <v>0</v>
      </c>
      <c r="D45" s="323">
        <f>'11.F&amp;V Crop Production details'!C114</f>
        <v>0</v>
      </c>
      <c r="E45" s="323">
        <f>'11.F&amp;V Crop Production details'!D114</f>
        <v>0</v>
      </c>
      <c r="F45" s="323">
        <f>'11.F&amp;V Crop Production details'!E114</f>
        <v>0</v>
      </c>
      <c r="G45" s="323">
        <f>'11.F&amp;V Crop Production details'!F114</f>
        <v>0</v>
      </c>
      <c r="H45" s="323">
        <f>'11.F&amp;V Crop Production details'!G114</f>
        <v>0</v>
      </c>
      <c r="I45" s="323">
        <f>'11.F&amp;V Crop Production details'!H114</f>
        <v>0</v>
      </c>
    </row>
    <row r="46" spans="1:9" ht="14.25" customHeight="1">
      <c r="A46" s="56" t="str">
        <f>'11.F&amp;V Crop Production details'!A115</f>
        <v>Brinjal</v>
      </c>
      <c r="B46" s="301"/>
      <c r="C46" s="323">
        <f>'11.F&amp;V Crop Production details'!B115</f>
        <v>0</v>
      </c>
      <c r="D46" s="323">
        <f>'11.F&amp;V Crop Production details'!C115</f>
        <v>0</v>
      </c>
      <c r="E46" s="323">
        <f>'11.F&amp;V Crop Production details'!D115</f>
        <v>0</v>
      </c>
      <c r="F46" s="323">
        <f>'11.F&amp;V Crop Production details'!E115</f>
        <v>0</v>
      </c>
      <c r="G46" s="323">
        <f>'11.F&amp;V Crop Production details'!F115</f>
        <v>0</v>
      </c>
      <c r="H46" s="323">
        <f>'11.F&amp;V Crop Production details'!G115</f>
        <v>0</v>
      </c>
      <c r="I46" s="323">
        <f>'11.F&amp;V Crop Production details'!H115</f>
        <v>0</v>
      </c>
    </row>
    <row r="47" spans="1:9" ht="14.25" customHeight="1">
      <c r="A47" s="56">
        <f>'11.F&amp;V Crop Production details'!A116</f>
        <v>0</v>
      </c>
      <c r="B47" s="301"/>
      <c r="C47" s="323">
        <f>'11.F&amp;V Crop Production details'!B116</f>
        <v>0</v>
      </c>
      <c r="D47" s="323">
        <f>'11.F&amp;V Crop Production details'!C116</f>
        <v>0</v>
      </c>
      <c r="E47" s="323">
        <f>'11.F&amp;V Crop Production details'!D116</f>
        <v>0</v>
      </c>
      <c r="F47" s="323">
        <f>'11.F&amp;V Crop Production details'!E116</f>
        <v>0</v>
      </c>
      <c r="G47" s="323">
        <f>'11.F&amp;V Crop Production details'!F116</f>
        <v>0</v>
      </c>
      <c r="H47" s="323">
        <f>'11.F&amp;V Crop Production details'!G116</f>
        <v>0</v>
      </c>
      <c r="I47" s="323">
        <f>'11.F&amp;V Crop Production details'!H116</f>
        <v>0</v>
      </c>
    </row>
    <row r="48" spans="1:9" ht="14.25" customHeight="1">
      <c r="A48" s="56">
        <f>'11.F&amp;V Crop Production details'!A117</f>
        <v>0</v>
      </c>
      <c r="B48" s="301"/>
      <c r="C48" s="323">
        <f>'11.F&amp;V Crop Production details'!B117</f>
        <v>0</v>
      </c>
      <c r="D48" s="323">
        <f>'11.F&amp;V Crop Production details'!C117</f>
        <v>0</v>
      </c>
      <c r="E48" s="323">
        <f>'11.F&amp;V Crop Production details'!D117</f>
        <v>0</v>
      </c>
      <c r="F48" s="323">
        <f>'11.F&amp;V Crop Production details'!E117</f>
        <v>0</v>
      </c>
      <c r="G48" s="323">
        <f>'11.F&amp;V Crop Production details'!F117</f>
        <v>0</v>
      </c>
      <c r="H48" s="323">
        <f>'11.F&amp;V Crop Production details'!G117</f>
        <v>0</v>
      </c>
      <c r="I48" s="323">
        <f>'11.F&amp;V Crop Production details'!H117</f>
        <v>0</v>
      </c>
    </row>
    <row r="49" spans="1:9" ht="14.25" customHeight="1">
      <c r="A49" s="56">
        <f>'11.F&amp;V Crop Production details'!A118</f>
        <v>0</v>
      </c>
      <c r="B49" s="301"/>
      <c r="C49" s="323">
        <f>'11.F&amp;V Crop Production details'!B118</f>
        <v>0</v>
      </c>
      <c r="D49" s="323">
        <f>'11.F&amp;V Crop Production details'!C118</f>
        <v>0</v>
      </c>
      <c r="E49" s="323">
        <f>'11.F&amp;V Crop Production details'!D118</f>
        <v>0</v>
      </c>
      <c r="F49" s="323">
        <f>'11.F&amp;V Crop Production details'!E118</f>
        <v>0</v>
      </c>
      <c r="G49" s="323">
        <f>'11.F&amp;V Crop Production details'!F118</f>
        <v>0</v>
      </c>
      <c r="H49" s="323">
        <f>'11.F&amp;V Crop Production details'!G118</f>
        <v>0</v>
      </c>
      <c r="I49" s="323">
        <f>'11.F&amp;V Crop Production details'!H118</f>
        <v>0</v>
      </c>
    </row>
    <row r="50" spans="1:9" ht="14.25" customHeight="1">
      <c r="A50" s="56">
        <f>'11.F&amp;V Crop Production details'!A119</f>
        <v>0</v>
      </c>
      <c r="B50" s="301"/>
      <c r="C50" s="323">
        <f>'11.F&amp;V Crop Production details'!B119</f>
        <v>0</v>
      </c>
      <c r="D50" s="323">
        <f>'11.F&amp;V Crop Production details'!C119</f>
        <v>0</v>
      </c>
      <c r="E50" s="323">
        <f>'11.F&amp;V Crop Production details'!D119</f>
        <v>0</v>
      </c>
      <c r="F50" s="323">
        <f>'11.F&amp;V Crop Production details'!E119</f>
        <v>0</v>
      </c>
      <c r="G50" s="323">
        <f>'11.F&amp;V Crop Production details'!F119</f>
        <v>0</v>
      </c>
      <c r="H50" s="323">
        <f>'11.F&amp;V Crop Production details'!G119</f>
        <v>0</v>
      </c>
      <c r="I50" s="323">
        <f>'11.F&amp;V Crop Production details'!H119</f>
        <v>0</v>
      </c>
    </row>
    <row r="51" spans="1:9" ht="14.25" customHeight="1">
      <c r="A51" s="56">
        <f>'11.F&amp;V Crop Production details'!A120</f>
        <v>0</v>
      </c>
      <c r="B51" s="301"/>
      <c r="C51" s="323">
        <f>'11.F&amp;V Crop Production details'!B120</f>
        <v>0</v>
      </c>
      <c r="D51" s="323">
        <f>'11.F&amp;V Crop Production details'!C120</f>
        <v>0</v>
      </c>
      <c r="E51" s="323">
        <f>'11.F&amp;V Crop Production details'!D120</f>
        <v>0</v>
      </c>
      <c r="F51" s="323">
        <f>'11.F&amp;V Crop Production details'!E120</f>
        <v>0</v>
      </c>
      <c r="G51" s="323">
        <f>'11.F&amp;V Crop Production details'!F120</f>
        <v>0</v>
      </c>
      <c r="H51" s="323">
        <f>'11.F&amp;V Crop Production details'!G120</f>
        <v>0</v>
      </c>
      <c r="I51" s="323">
        <f>'11.F&amp;V Crop Production details'!H120</f>
        <v>0</v>
      </c>
    </row>
    <row r="52" spans="1:9" ht="14.25" customHeight="1">
      <c r="A52" s="56">
        <f>'11.F&amp;V Crop Production details'!A121</f>
        <v>0</v>
      </c>
      <c r="B52" s="301"/>
      <c r="C52" s="323">
        <f>'11.F&amp;V Crop Production details'!B121</f>
        <v>0</v>
      </c>
      <c r="D52" s="323">
        <f>'11.F&amp;V Crop Production details'!C121</f>
        <v>0</v>
      </c>
      <c r="E52" s="323">
        <f>'11.F&amp;V Crop Production details'!D121</f>
        <v>0</v>
      </c>
      <c r="F52" s="323">
        <f>'11.F&amp;V Crop Production details'!E121</f>
        <v>0</v>
      </c>
      <c r="G52" s="323">
        <f>'11.F&amp;V Crop Production details'!F121</f>
        <v>0</v>
      </c>
      <c r="H52" s="323">
        <f>'11.F&amp;V Crop Production details'!G121</f>
        <v>0</v>
      </c>
      <c r="I52" s="323">
        <f>'11.F&amp;V Crop Production details'!H121</f>
        <v>0</v>
      </c>
    </row>
    <row r="53" spans="1:9" ht="14.25" customHeight="1">
      <c r="A53" s="56">
        <f>'11.F&amp;V Crop Production details'!A122</f>
        <v>0</v>
      </c>
      <c r="B53" s="301"/>
      <c r="C53" s="323">
        <f>'11.F&amp;V Crop Production details'!B122</f>
        <v>0</v>
      </c>
      <c r="D53" s="323">
        <f>'11.F&amp;V Crop Production details'!C122</f>
        <v>0</v>
      </c>
      <c r="E53" s="323">
        <f>'11.F&amp;V Crop Production details'!D122</f>
        <v>0</v>
      </c>
      <c r="F53" s="323">
        <f>'11.F&amp;V Crop Production details'!E122</f>
        <v>0</v>
      </c>
      <c r="G53" s="323">
        <f>'11.F&amp;V Crop Production details'!F122</f>
        <v>0</v>
      </c>
      <c r="H53" s="323">
        <f>'11.F&amp;V Crop Production details'!G122</f>
        <v>0</v>
      </c>
      <c r="I53" s="323">
        <f>'11.F&amp;V Crop Production details'!H122</f>
        <v>0</v>
      </c>
    </row>
    <row r="54" spans="1:9" ht="14.25" customHeight="1">
      <c r="A54" s="56" t="str">
        <f>'11.F&amp;V Crop Production details'!A123</f>
        <v>Pomegranate</v>
      </c>
      <c r="B54" s="301"/>
      <c r="C54" s="323">
        <f>'11.F&amp;V Crop Production details'!B123</f>
        <v>0</v>
      </c>
      <c r="D54" s="323">
        <f>'11.F&amp;V Crop Production details'!C123</f>
        <v>0</v>
      </c>
      <c r="E54" s="323">
        <f>'11.F&amp;V Crop Production details'!D123</f>
        <v>0</v>
      </c>
      <c r="F54" s="323">
        <f>'11.F&amp;V Crop Production details'!E123</f>
        <v>0</v>
      </c>
      <c r="G54" s="323">
        <f>'11.F&amp;V Crop Production details'!F123</f>
        <v>0</v>
      </c>
      <c r="H54" s="323">
        <f>'11.F&amp;V Crop Production details'!G123</f>
        <v>0</v>
      </c>
      <c r="I54" s="323">
        <f>'11.F&amp;V Crop Production details'!H123</f>
        <v>0</v>
      </c>
    </row>
    <row r="55" spans="1:9" ht="14.25" customHeight="1">
      <c r="A55" s="56" t="str">
        <f>'11.F&amp;V Crop Production details'!A124</f>
        <v>Custard Apple</v>
      </c>
      <c r="B55" s="301"/>
      <c r="C55" s="323">
        <f>'11.F&amp;V Crop Production details'!B124</f>
        <v>0</v>
      </c>
      <c r="D55" s="323">
        <f>'11.F&amp;V Crop Production details'!C124</f>
        <v>0</v>
      </c>
      <c r="E55" s="323">
        <f>'11.F&amp;V Crop Production details'!D124</f>
        <v>0</v>
      </c>
      <c r="F55" s="323">
        <f>'11.F&amp;V Crop Production details'!E124</f>
        <v>0</v>
      </c>
      <c r="G55" s="323">
        <f>'11.F&amp;V Crop Production details'!F124</f>
        <v>0</v>
      </c>
      <c r="H55" s="323">
        <f>'11.F&amp;V Crop Production details'!G124</f>
        <v>0</v>
      </c>
      <c r="I55" s="323">
        <f>'11.F&amp;V Crop Production details'!H124</f>
        <v>0</v>
      </c>
    </row>
    <row r="56" spans="1:9" ht="14.25" customHeight="1">
      <c r="A56" s="56" t="str">
        <f>'11.F&amp;V Crop Production details'!A125</f>
        <v>Guava</v>
      </c>
      <c r="B56" s="301"/>
      <c r="C56" s="323">
        <f>'11.F&amp;V Crop Production details'!B125</f>
        <v>0</v>
      </c>
      <c r="D56" s="323">
        <f>'11.F&amp;V Crop Production details'!C125</f>
        <v>0</v>
      </c>
      <c r="E56" s="323">
        <f>'11.F&amp;V Crop Production details'!D125</f>
        <v>0</v>
      </c>
      <c r="F56" s="323">
        <f>'11.F&amp;V Crop Production details'!E125</f>
        <v>0</v>
      </c>
      <c r="G56" s="323">
        <f>'11.F&amp;V Crop Production details'!F125</f>
        <v>0</v>
      </c>
      <c r="H56" s="323">
        <f>'11.F&amp;V Crop Production details'!G125</f>
        <v>0</v>
      </c>
      <c r="I56" s="323">
        <f>'11.F&amp;V Crop Production details'!H125</f>
        <v>0</v>
      </c>
    </row>
    <row r="57" spans="1:9" ht="14.25" customHeight="1">
      <c r="A57" s="56" t="str">
        <f>'11.F&amp;V Crop Production details'!A126</f>
        <v>Citrus</v>
      </c>
      <c r="B57" s="301"/>
      <c r="C57" s="323">
        <f>'11.F&amp;V Crop Production details'!B126</f>
        <v>0</v>
      </c>
      <c r="D57" s="323">
        <f>'11.F&amp;V Crop Production details'!C126</f>
        <v>0</v>
      </c>
      <c r="E57" s="323">
        <f>'11.F&amp;V Crop Production details'!D126</f>
        <v>0</v>
      </c>
      <c r="F57" s="323">
        <f>'11.F&amp;V Crop Production details'!E126</f>
        <v>0</v>
      </c>
      <c r="G57" s="323">
        <f>'11.F&amp;V Crop Production details'!F126</f>
        <v>0</v>
      </c>
      <c r="H57" s="323">
        <f>'11.F&amp;V Crop Production details'!G126</f>
        <v>0</v>
      </c>
      <c r="I57" s="323">
        <f>'11.F&amp;V Crop Production details'!H126</f>
        <v>0</v>
      </c>
    </row>
    <row r="58" spans="1:9" ht="14.25" customHeight="1">
      <c r="A58" s="56"/>
      <c r="B58" s="301"/>
      <c r="C58" s="301"/>
      <c r="D58" s="301"/>
      <c r="E58" s="301"/>
      <c r="F58" s="301"/>
      <c r="G58" s="301"/>
      <c r="H58" s="301"/>
      <c r="I58" s="301"/>
    </row>
    <row r="59" spans="1:9" ht="14.25" customHeight="1">
      <c r="A59" s="98" t="s">
        <v>724</v>
      </c>
      <c r="B59" s="56"/>
      <c r="C59" s="56"/>
      <c r="D59" s="56"/>
      <c r="E59" s="56"/>
      <c r="F59" s="56"/>
      <c r="G59" s="56"/>
      <c r="H59" s="56"/>
      <c r="I59" s="56"/>
    </row>
    <row r="60" spans="1:9" ht="40.5" customHeight="1">
      <c r="A60" s="98" t="s">
        <v>725</v>
      </c>
      <c r="B60" s="47" t="s">
        <v>726</v>
      </c>
      <c r="C60" s="56"/>
      <c r="D60" s="56"/>
      <c r="E60" s="56"/>
      <c r="F60" s="56"/>
      <c r="G60" s="56"/>
      <c r="H60" s="56"/>
      <c r="I60" s="56"/>
    </row>
    <row r="61" spans="1:9" ht="14.25" customHeight="1">
      <c r="A61" s="98" t="str">
        <f t="shared" ref="A61:A110" si="0">A8</f>
        <v>Kharif Crops</v>
      </c>
      <c r="B61" s="56"/>
      <c r="C61" s="56"/>
      <c r="D61" s="56"/>
      <c r="E61" s="56"/>
      <c r="F61" s="56"/>
      <c r="G61" s="56"/>
      <c r="H61" s="56"/>
      <c r="I61" s="56"/>
    </row>
    <row r="62" spans="1:9" ht="14.25" customHeight="1">
      <c r="A62" s="56" t="str">
        <f t="shared" si="0"/>
        <v>Soybean</v>
      </c>
      <c r="B62" s="58">
        <v>40</v>
      </c>
      <c r="C62" s="301">
        <f t="shared" ref="C62:I62" si="1">$B62*C9</f>
        <v>0</v>
      </c>
      <c r="D62" s="301">
        <f t="shared" si="1"/>
        <v>0</v>
      </c>
      <c r="E62" s="301">
        <f t="shared" si="1"/>
        <v>0</v>
      </c>
      <c r="F62" s="301">
        <f t="shared" si="1"/>
        <v>0</v>
      </c>
      <c r="G62" s="301">
        <f t="shared" si="1"/>
        <v>0</v>
      </c>
      <c r="H62" s="301">
        <f t="shared" si="1"/>
        <v>0</v>
      </c>
      <c r="I62" s="301">
        <f t="shared" si="1"/>
        <v>0</v>
      </c>
    </row>
    <row r="63" spans="1:9" ht="14.25" customHeight="1">
      <c r="A63" s="56" t="str">
        <f t="shared" si="0"/>
        <v>Red Gram/Tur</v>
      </c>
      <c r="B63" s="58">
        <v>5</v>
      </c>
      <c r="C63" s="301">
        <f t="shared" ref="C63:C69" si="2">$B63*C10</f>
        <v>0</v>
      </c>
      <c r="D63" s="301">
        <f t="shared" ref="D63:I63" si="3">$B$63*D10</f>
        <v>0</v>
      </c>
      <c r="E63" s="301">
        <f t="shared" si="3"/>
        <v>0</v>
      </c>
      <c r="F63" s="301">
        <f t="shared" si="3"/>
        <v>0</v>
      </c>
      <c r="G63" s="301">
        <f t="shared" si="3"/>
        <v>0</v>
      </c>
      <c r="H63" s="301">
        <f t="shared" si="3"/>
        <v>0</v>
      </c>
      <c r="I63" s="301">
        <f t="shared" si="3"/>
        <v>0</v>
      </c>
    </row>
    <row r="64" spans="1:9" ht="14.25" customHeight="1">
      <c r="A64" s="56" t="str">
        <f t="shared" si="0"/>
        <v>Paddy/Rice</v>
      </c>
      <c r="B64" s="58">
        <v>15</v>
      </c>
      <c r="C64" s="301">
        <f t="shared" si="2"/>
        <v>0</v>
      </c>
      <c r="D64" s="301">
        <f t="shared" ref="D64:I64" si="4">$B$64*D11</f>
        <v>0</v>
      </c>
      <c r="E64" s="301">
        <f t="shared" si="4"/>
        <v>0</v>
      </c>
      <c r="F64" s="301">
        <f t="shared" si="4"/>
        <v>0</v>
      </c>
      <c r="G64" s="301">
        <f t="shared" si="4"/>
        <v>0</v>
      </c>
      <c r="H64" s="301">
        <f t="shared" si="4"/>
        <v>0</v>
      </c>
      <c r="I64" s="301">
        <f t="shared" si="4"/>
        <v>0</v>
      </c>
    </row>
    <row r="65" spans="1:9" ht="14.25" customHeight="1">
      <c r="A65" s="56" t="str">
        <f t="shared" si="0"/>
        <v>Green Gram/ Moong</v>
      </c>
      <c r="B65" s="58">
        <v>15</v>
      </c>
      <c r="C65" s="301">
        <f t="shared" si="2"/>
        <v>0</v>
      </c>
      <c r="D65" s="301">
        <f t="shared" ref="D65:I65" si="5">$B65*D12</f>
        <v>0</v>
      </c>
      <c r="E65" s="301">
        <f t="shared" si="5"/>
        <v>0</v>
      </c>
      <c r="F65" s="301">
        <f t="shared" si="5"/>
        <v>0</v>
      </c>
      <c r="G65" s="301">
        <f t="shared" si="5"/>
        <v>0</v>
      </c>
      <c r="H65" s="301">
        <f t="shared" si="5"/>
        <v>0</v>
      </c>
      <c r="I65" s="301">
        <f t="shared" si="5"/>
        <v>0</v>
      </c>
    </row>
    <row r="66" spans="1:9" ht="14.25" customHeight="1">
      <c r="A66" s="56" t="str">
        <f t="shared" si="0"/>
        <v>Maize</v>
      </c>
      <c r="B66" s="58">
        <v>25</v>
      </c>
      <c r="C66" s="301">
        <f t="shared" si="2"/>
        <v>0</v>
      </c>
      <c r="D66" s="301">
        <f t="shared" ref="D66:I66" si="6">$B66*D13</f>
        <v>0</v>
      </c>
      <c r="E66" s="301">
        <f t="shared" si="6"/>
        <v>0</v>
      </c>
      <c r="F66" s="301">
        <f t="shared" si="6"/>
        <v>0</v>
      </c>
      <c r="G66" s="301">
        <f t="shared" si="6"/>
        <v>0</v>
      </c>
      <c r="H66" s="301">
        <f t="shared" si="6"/>
        <v>0</v>
      </c>
      <c r="I66" s="301">
        <f t="shared" si="6"/>
        <v>0</v>
      </c>
    </row>
    <row r="67" spans="1:9" ht="14.25" customHeight="1">
      <c r="A67" s="56" t="str">
        <f t="shared" si="0"/>
        <v>Black Gram/Udid</v>
      </c>
      <c r="B67" s="58">
        <v>15</v>
      </c>
      <c r="C67" s="301">
        <f t="shared" si="2"/>
        <v>0</v>
      </c>
      <c r="D67" s="301">
        <f t="shared" ref="D67:I67" si="7">$B67*D14</f>
        <v>0</v>
      </c>
      <c r="E67" s="301">
        <f t="shared" si="7"/>
        <v>0</v>
      </c>
      <c r="F67" s="301">
        <f t="shared" si="7"/>
        <v>0</v>
      </c>
      <c r="G67" s="301">
        <f t="shared" si="7"/>
        <v>0</v>
      </c>
      <c r="H67" s="301">
        <f t="shared" si="7"/>
        <v>0</v>
      </c>
      <c r="I67" s="301">
        <f t="shared" si="7"/>
        <v>0</v>
      </c>
    </row>
    <row r="68" spans="1:9" ht="14.25" customHeight="1">
      <c r="A68" s="56" t="str">
        <f t="shared" si="0"/>
        <v>Bajra</v>
      </c>
      <c r="B68" s="58">
        <v>5</v>
      </c>
      <c r="C68" s="301">
        <f t="shared" si="2"/>
        <v>0</v>
      </c>
      <c r="D68" s="301">
        <f t="shared" ref="D68:I68" si="8">$B68*D15</f>
        <v>0</v>
      </c>
      <c r="E68" s="301">
        <f t="shared" si="8"/>
        <v>0</v>
      </c>
      <c r="F68" s="301">
        <f t="shared" si="8"/>
        <v>0</v>
      </c>
      <c r="G68" s="301">
        <f t="shared" si="8"/>
        <v>0</v>
      </c>
      <c r="H68" s="301">
        <f t="shared" si="8"/>
        <v>0</v>
      </c>
      <c r="I68" s="301">
        <f t="shared" si="8"/>
        <v>0</v>
      </c>
    </row>
    <row r="69" spans="1:9" ht="14.25" customHeight="1">
      <c r="A69" s="56" t="str">
        <f t="shared" si="0"/>
        <v>Jawar</v>
      </c>
      <c r="B69" s="58">
        <v>5</v>
      </c>
      <c r="C69" s="301">
        <f t="shared" si="2"/>
        <v>0</v>
      </c>
      <c r="D69" s="301">
        <f t="shared" ref="D69:I69" si="9">$B69*D16</f>
        <v>0</v>
      </c>
      <c r="E69" s="301">
        <f t="shared" si="9"/>
        <v>0</v>
      </c>
      <c r="F69" s="301">
        <f t="shared" si="9"/>
        <v>0</v>
      </c>
      <c r="G69" s="301">
        <f t="shared" si="9"/>
        <v>0</v>
      </c>
      <c r="H69" s="301">
        <f t="shared" si="9"/>
        <v>0</v>
      </c>
      <c r="I69" s="301">
        <f t="shared" si="9"/>
        <v>0</v>
      </c>
    </row>
    <row r="70" spans="1:9" ht="14.25" customHeight="1">
      <c r="A70" s="98" t="str">
        <f t="shared" si="0"/>
        <v>Rabi Crop</v>
      </c>
      <c r="B70" s="58"/>
      <c r="C70" s="301"/>
      <c r="D70" s="301"/>
      <c r="E70" s="301"/>
      <c r="F70" s="301"/>
      <c r="G70" s="301"/>
      <c r="H70" s="301"/>
      <c r="I70" s="301"/>
    </row>
    <row r="71" spans="1:9" ht="14.25" customHeight="1">
      <c r="A71" s="56" t="str">
        <f t="shared" si="0"/>
        <v>Wheat</v>
      </c>
      <c r="B71" s="58">
        <v>20</v>
      </c>
      <c r="C71" s="301">
        <f t="shared" ref="C71:I71" si="10">$B71*C18</f>
        <v>0</v>
      </c>
      <c r="D71" s="301">
        <f t="shared" si="10"/>
        <v>0</v>
      </c>
      <c r="E71" s="301">
        <f t="shared" si="10"/>
        <v>0</v>
      </c>
      <c r="F71" s="301">
        <f t="shared" si="10"/>
        <v>0</v>
      </c>
      <c r="G71" s="301">
        <f t="shared" si="10"/>
        <v>0</v>
      </c>
      <c r="H71" s="301">
        <f t="shared" si="10"/>
        <v>0</v>
      </c>
      <c r="I71" s="301">
        <f t="shared" si="10"/>
        <v>0</v>
      </c>
    </row>
    <row r="72" spans="1:9" ht="14.25" customHeight="1">
      <c r="A72" s="56" t="str">
        <f t="shared" si="0"/>
        <v>Bengal Gram/Channa</v>
      </c>
      <c r="B72" s="58">
        <v>25</v>
      </c>
      <c r="C72" s="301">
        <f t="shared" ref="C72:I72" si="11">$B72*C19</f>
        <v>0</v>
      </c>
      <c r="D72" s="301">
        <f t="shared" si="11"/>
        <v>0</v>
      </c>
      <c r="E72" s="301">
        <f t="shared" si="11"/>
        <v>0</v>
      </c>
      <c r="F72" s="301">
        <f t="shared" si="11"/>
        <v>0</v>
      </c>
      <c r="G72" s="301">
        <f t="shared" si="11"/>
        <v>0</v>
      </c>
      <c r="H72" s="301">
        <f t="shared" si="11"/>
        <v>0</v>
      </c>
      <c r="I72" s="301">
        <f t="shared" si="11"/>
        <v>0</v>
      </c>
    </row>
    <row r="73" spans="1:9" ht="14.25" customHeight="1">
      <c r="A73" s="56" t="str">
        <f t="shared" si="0"/>
        <v>Jawar</v>
      </c>
      <c r="B73" s="58">
        <v>5</v>
      </c>
      <c r="C73" s="301">
        <f t="shared" ref="C73:I73" si="12">$B73*C20</f>
        <v>0</v>
      </c>
      <c r="D73" s="301">
        <f t="shared" si="12"/>
        <v>0</v>
      </c>
      <c r="E73" s="301">
        <f t="shared" si="12"/>
        <v>0</v>
      </c>
      <c r="F73" s="301">
        <f t="shared" si="12"/>
        <v>0</v>
      </c>
      <c r="G73" s="301">
        <f t="shared" si="12"/>
        <v>0</v>
      </c>
      <c r="H73" s="301">
        <f t="shared" si="12"/>
        <v>0</v>
      </c>
      <c r="I73" s="301">
        <f t="shared" si="12"/>
        <v>0</v>
      </c>
    </row>
    <row r="74" spans="1:9" ht="14.25" customHeight="1">
      <c r="A74" s="56" t="str">
        <f t="shared" si="0"/>
        <v>Maize</v>
      </c>
      <c r="B74" s="58">
        <v>20</v>
      </c>
      <c r="C74" s="301">
        <f t="shared" ref="C74:I74" si="13">$B74*C21</f>
        <v>0</v>
      </c>
      <c r="D74" s="301">
        <f t="shared" si="13"/>
        <v>0</v>
      </c>
      <c r="E74" s="301">
        <f t="shared" si="13"/>
        <v>0</v>
      </c>
      <c r="F74" s="301">
        <f t="shared" si="13"/>
        <v>0</v>
      </c>
      <c r="G74" s="301">
        <f t="shared" si="13"/>
        <v>0</v>
      </c>
      <c r="H74" s="301">
        <f t="shared" si="13"/>
        <v>0</v>
      </c>
      <c r="I74" s="301">
        <f t="shared" si="13"/>
        <v>0</v>
      </c>
    </row>
    <row r="75" spans="1:9" ht="14.25" customHeight="1">
      <c r="A75" s="56" t="str">
        <f t="shared" si="0"/>
        <v>Safflower</v>
      </c>
      <c r="B75" s="58"/>
      <c r="C75" s="301">
        <f t="shared" ref="C75:I75" si="14">$B75*C22</f>
        <v>0</v>
      </c>
      <c r="D75" s="301">
        <f t="shared" si="14"/>
        <v>0</v>
      </c>
      <c r="E75" s="301">
        <f t="shared" si="14"/>
        <v>0</v>
      </c>
      <c r="F75" s="301">
        <f t="shared" si="14"/>
        <v>0</v>
      </c>
      <c r="G75" s="301">
        <f t="shared" si="14"/>
        <v>0</v>
      </c>
      <c r="H75" s="301">
        <f t="shared" si="14"/>
        <v>0</v>
      </c>
      <c r="I75" s="301">
        <f t="shared" si="14"/>
        <v>0</v>
      </c>
    </row>
    <row r="76" spans="1:9" ht="14.25" customHeight="1">
      <c r="A76" s="56">
        <f t="shared" si="0"/>
        <v>0</v>
      </c>
      <c r="B76" s="58"/>
      <c r="C76" s="301">
        <f t="shared" ref="C76:I76" si="15">$B76*C23</f>
        <v>0</v>
      </c>
      <c r="D76" s="301">
        <f t="shared" si="15"/>
        <v>0</v>
      </c>
      <c r="E76" s="301">
        <f t="shared" si="15"/>
        <v>0</v>
      </c>
      <c r="F76" s="301">
        <f t="shared" si="15"/>
        <v>0</v>
      </c>
      <c r="G76" s="301">
        <f t="shared" si="15"/>
        <v>0</v>
      </c>
      <c r="H76" s="301">
        <f t="shared" si="15"/>
        <v>0</v>
      </c>
      <c r="I76" s="301">
        <f t="shared" si="15"/>
        <v>0</v>
      </c>
    </row>
    <row r="77" spans="1:9" ht="14.25" customHeight="1">
      <c r="A77" s="56">
        <f t="shared" si="0"/>
        <v>0</v>
      </c>
      <c r="B77" s="58"/>
      <c r="C77" s="301">
        <f t="shared" ref="C77:I77" si="16">$B77*C24</f>
        <v>0</v>
      </c>
      <c r="D77" s="301">
        <f t="shared" si="16"/>
        <v>0</v>
      </c>
      <c r="E77" s="301">
        <f t="shared" si="16"/>
        <v>0</v>
      </c>
      <c r="F77" s="301">
        <f t="shared" si="16"/>
        <v>0</v>
      </c>
      <c r="G77" s="301">
        <f t="shared" si="16"/>
        <v>0</v>
      </c>
      <c r="H77" s="301">
        <f t="shared" si="16"/>
        <v>0</v>
      </c>
      <c r="I77" s="301">
        <f t="shared" si="16"/>
        <v>0</v>
      </c>
    </row>
    <row r="78" spans="1:9" ht="14.25" customHeight="1">
      <c r="A78" s="56">
        <f t="shared" si="0"/>
        <v>0</v>
      </c>
      <c r="B78" s="58"/>
      <c r="C78" s="301">
        <f t="shared" ref="C78:I78" si="17">$B78*C25</f>
        <v>0</v>
      </c>
      <c r="D78" s="301">
        <f t="shared" si="17"/>
        <v>0</v>
      </c>
      <c r="E78" s="301">
        <f t="shared" si="17"/>
        <v>0</v>
      </c>
      <c r="F78" s="301">
        <f t="shared" si="17"/>
        <v>0</v>
      </c>
      <c r="G78" s="301">
        <f t="shared" si="17"/>
        <v>0</v>
      </c>
      <c r="H78" s="301">
        <f t="shared" si="17"/>
        <v>0</v>
      </c>
      <c r="I78" s="301">
        <f t="shared" si="17"/>
        <v>0</v>
      </c>
    </row>
    <row r="79" spans="1:9" ht="14.25" customHeight="1">
      <c r="A79" s="98" t="str">
        <f t="shared" si="0"/>
        <v>Summer</v>
      </c>
      <c r="B79" s="58"/>
      <c r="C79" s="301"/>
      <c r="D79" s="301"/>
      <c r="E79" s="301"/>
      <c r="F79" s="301"/>
      <c r="G79" s="301"/>
      <c r="H79" s="301"/>
      <c r="I79" s="301"/>
    </row>
    <row r="80" spans="1:9" ht="14.25" customHeight="1">
      <c r="A80" s="56" t="str">
        <f t="shared" si="0"/>
        <v>Groundnut</v>
      </c>
      <c r="B80" s="58"/>
      <c r="C80" s="301">
        <f t="shared" ref="C80:I80" si="18">$B80*C27</f>
        <v>0</v>
      </c>
      <c r="D80" s="301">
        <f t="shared" si="18"/>
        <v>0</v>
      </c>
      <c r="E80" s="301">
        <f t="shared" si="18"/>
        <v>0</v>
      </c>
      <c r="F80" s="301">
        <f t="shared" si="18"/>
        <v>0</v>
      </c>
      <c r="G80" s="301">
        <f t="shared" si="18"/>
        <v>0</v>
      </c>
      <c r="H80" s="301">
        <f t="shared" si="18"/>
        <v>0</v>
      </c>
      <c r="I80" s="301">
        <f t="shared" si="18"/>
        <v>0</v>
      </c>
    </row>
    <row r="81" spans="1:9" ht="14.25" customHeight="1">
      <c r="A81" s="56">
        <f t="shared" si="0"/>
        <v>0</v>
      </c>
      <c r="B81" s="58"/>
      <c r="C81" s="301">
        <f t="shared" ref="C81:I81" si="19">$B81*C28</f>
        <v>0</v>
      </c>
      <c r="D81" s="301">
        <f t="shared" si="19"/>
        <v>0</v>
      </c>
      <c r="E81" s="301">
        <f t="shared" si="19"/>
        <v>0</v>
      </c>
      <c r="F81" s="301">
        <f t="shared" si="19"/>
        <v>0</v>
      </c>
      <c r="G81" s="301">
        <f t="shared" si="19"/>
        <v>0</v>
      </c>
      <c r="H81" s="301">
        <f t="shared" si="19"/>
        <v>0</v>
      </c>
      <c r="I81" s="301">
        <f t="shared" si="19"/>
        <v>0</v>
      </c>
    </row>
    <row r="82" spans="1:9" ht="14.25" customHeight="1">
      <c r="A82" s="56">
        <f t="shared" si="0"/>
        <v>0</v>
      </c>
      <c r="B82" s="58"/>
      <c r="C82" s="301">
        <f t="shared" ref="C82:I82" si="20">$B82*C29</f>
        <v>0</v>
      </c>
      <c r="D82" s="301">
        <f t="shared" si="20"/>
        <v>0</v>
      </c>
      <c r="E82" s="301">
        <f t="shared" si="20"/>
        <v>0</v>
      </c>
      <c r="F82" s="301">
        <f t="shared" si="20"/>
        <v>0</v>
      </c>
      <c r="G82" s="301">
        <f t="shared" si="20"/>
        <v>0</v>
      </c>
      <c r="H82" s="301">
        <f t="shared" si="20"/>
        <v>0</v>
      </c>
      <c r="I82" s="301">
        <f t="shared" si="20"/>
        <v>0</v>
      </c>
    </row>
    <row r="83" spans="1:9" ht="14.25" customHeight="1">
      <c r="A83" s="56">
        <f t="shared" si="0"/>
        <v>0</v>
      </c>
      <c r="B83" s="58"/>
      <c r="C83" s="301">
        <f t="shared" ref="C83:I83" si="21">$B83*C30</f>
        <v>0</v>
      </c>
      <c r="D83" s="301">
        <f t="shared" si="21"/>
        <v>0</v>
      </c>
      <c r="E83" s="301">
        <f t="shared" si="21"/>
        <v>0</v>
      </c>
      <c r="F83" s="301">
        <f t="shared" si="21"/>
        <v>0</v>
      </c>
      <c r="G83" s="301">
        <f t="shared" si="21"/>
        <v>0</v>
      </c>
      <c r="H83" s="301">
        <f t="shared" si="21"/>
        <v>0</v>
      </c>
      <c r="I83" s="301">
        <f t="shared" si="21"/>
        <v>0</v>
      </c>
    </row>
    <row r="84" spans="1:9" ht="14.25" customHeight="1">
      <c r="A84" s="56">
        <f t="shared" si="0"/>
        <v>0</v>
      </c>
      <c r="B84" s="58"/>
      <c r="C84" s="301">
        <f t="shared" ref="C84:I84" si="22">$B84*C31</f>
        <v>0</v>
      </c>
      <c r="D84" s="301">
        <f t="shared" si="22"/>
        <v>0</v>
      </c>
      <c r="E84" s="301">
        <f t="shared" si="22"/>
        <v>0</v>
      </c>
      <c r="F84" s="301">
        <f t="shared" si="22"/>
        <v>0</v>
      </c>
      <c r="G84" s="301">
        <f t="shared" si="22"/>
        <v>0</v>
      </c>
      <c r="H84" s="301">
        <f t="shared" si="22"/>
        <v>0</v>
      </c>
      <c r="I84" s="301">
        <f t="shared" si="22"/>
        <v>0</v>
      </c>
    </row>
    <row r="85" spans="1:9" ht="14.25" customHeight="1">
      <c r="A85" s="98" t="str">
        <f t="shared" si="0"/>
        <v>Fruit  &amp; Vegetables Crop Production Details</v>
      </c>
      <c r="B85" s="58"/>
      <c r="C85" s="301"/>
      <c r="D85" s="301"/>
      <c r="E85" s="301"/>
      <c r="F85" s="301"/>
      <c r="G85" s="301"/>
      <c r="H85" s="301"/>
      <c r="I85" s="301"/>
    </row>
    <row r="86" spans="1:9" ht="14.25" customHeight="1">
      <c r="A86" s="56" t="str">
        <f t="shared" si="0"/>
        <v>Onion</v>
      </c>
      <c r="B86" s="58"/>
      <c r="C86" s="301">
        <f t="shared" ref="C86:I86" si="23">$B86*C33</f>
        <v>0</v>
      </c>
      <c r="D86" s="301">
        <f t="shared" si="23"/>
        <v>0</v>
      </c>
      <c r="E86" s="301">
        <f t="shared" si="23"/>
        <v>0</v>
      </c>
      <c r="F86" s="301">
        <f t="shared" si="23"/>
        <v>0</v>
      </c>
      <c r="G86" s="301">
        <f t="shared" si="23"/>
        <v>0</v>
      </c>
      <c r="H86" s="301">
        <f t="shared" si="23"/>
        <v>0</v>
      </c>
      <c r="I86" s="301">
        <f t="shared" si="23"/>
        <v>0</v>
      </c>
    </row>
    <row r="87" spans="1:9" ht="14.25" customHeight="1">
      <c r="A87" s="56" t="str">
        <f t="shared" si="0"/>
        <v>Tomato</v>
      </c>
      <c r="B87" s="58"/>
      <c r="C87" s="301">
        <f t="shared" ref="C87:I87" si="24">$B87*C34</f>
        <v>0</v>
      </c>
      <c r="D87" s="301">
        <f t="shared" si="24"/>
        <v>0</v>
      </c>
      <c r="E87" s="301">
        <f t="shared" si="24"/>
        <v>0</v>
      </c>
      <c r="F87" s="301">
        <f t="shared" si="24"/>
        <v>0</v>
      </c>
      <c r="G87" s="301">
        <f t="shared" si="24"/>
        <v>0</v>
      </c>
      <c r="H87" s="301">
        <f t="shared" si="24"/>
        <v>0</v>
      </c>
      <c r="I87" s="301">
        <f t="shared" si="24"/>
        <v>0</v>
      </c>
    </row>
    <row r="88" spans="1:9" ht="14.25" customHeight="1">
      <c r="A88" s="56" t="str">
        <f t="shared" si="0"/>
        <v>Okra</v>
      </c>
      <c r="B88" s="58"/>
      <c r="C88" s="301">
        <f t="shared" ref="C88:I88" si="25">$B88*C35</f>
        <v>0</v>
      </c>
      <c r="D88" s="301">
        <f t="shared" si="25"/>
        <v>0</v>
      </c>
      <c r="E88" s="301">
        <f t="shared" si="25"/>
        <v>0</v>
      </c>
      <c r="F88" s="301">
        <f t="shared" si="25"/>
        <v>0</v>
      </c>
      <c r="G88" s="301">
        <f t="shared" si="25"/>
        <v>0</v>
      </c>
      <c r="H88" s="301">
        <f t="shared" si="25"/>
        <v>0</v>
      </c>
      <c r="I88" s="301">
        <f t="shared" si="25"/>
        <v>0</v>
      </c>
    </row>
    <row r="89" spans="1:9" ht="14.25" customHeight="1">
      <c r="A89" s="56" t="str">
        <f t="shared" si="0"/>
        <v>Chilli</v>
      </c>
      <c r="B89" s="58"/>
      <c r="C89" s="301">
        <f t="shared" ref="C89:I89" si="26">$B89*C36</f>
        <v>0</v>
      </c>
      <c r="D89" s="301">
        <f t="shared" si="26"/>
        <v>0</v>
      </c>
      <c r="E89" s="301">
        <f t="shared" si="26"/>
        <v>0</v>
      </c>
      <c r="F89" s="301">
        <f t="shared" si="26"/>
        <v>0</v>
      </c>
      <c r="G89" s="301">
        <f t="shared" si="26"/>
        <v>0</v>
      </c>
      <c r="H89" s="301">
        <f t="shared" si="26"/>
        <v>0</v>
      </c>
      <c r="I89" s="301">
        <f t="shared" si="26"/>
        <v>0</v>
      </c>
    </row>
    <row r="90" spans="1:9" ht="14.25" customHeight="1">
      <c r="A90" s="56" t="str">
        <f t="shared" si="0"/>
        <v>Potato</v>
      </c>
      <c r="B90" s="58"/>
      <c r="C90" s="301">
        <f t="shared" ref="C90:I90" si="27">$B90*C37</f>
        <v>0</v>
      </c>
      <c r="D90" s="301">
        <f t="shared" si="27"/>
        <v>0</v>
      </c>
      <c r="E90" s="301">
        <f t="shared" si="27"/>
        <v>0</v>
      </c>
      <c r="F90" s="301">
        <f t="shared" si="27"/>
        <v>0</v>
      </c>
      <c r="G90" s="301">
        <f t="shared" si="27"/>
        <v>0</v>
      </c>
      <c r="H90" s="301">
        <f t="shared" si="27"/>
        <v>0</v>
      </c>
      <c r="I90" s="301">
        <f t="shared" si="27"/>
        <v>0</v>
      </c>
    </row>
    <row r="91" spans="1:9" ht="14.25" customHeight="1">
      <c r="A91" s="56">
        <f t="shared" si="0"/>
        <v>0</v>
      </c>
      <c r="B91" s="58"/>
      <c r="C91" s="301">
        <f t="shared" ref="C91:I91" si="28">$B91*C38</f>
        <v>0</v>
      </c>
      <c r="D91" s="301">
        <f t="shared" si="28"/>
        <v>0</v>
      </c>
      <c r="E91" s="301">
        <f t="shared" si="28"/>
        <v>0</v>
      </c>
      <c r="F91" s="301">
        <f t="shared" si="28"/>
        <v>0</v>
      </c>
      <c r="G91" s="301">
        <f t="shared" si="28"/>
        <v>0</v>
      </c>
      <c r="H91" s="301">
        <f t="shared" si="28"/>
        <v>0</v>
      </c>
      <c r="I91" s="301">
        <f t="shared" si="28"/>
        <v>0</v>
      </c>
    </row>
    <row r="92" spans="1:9" ht="14.25" customHeight="1">
      <c r="A92" s="56">
        <f t="shared" si="0"/>
        <v>0</v>
      </c>
      <c r="B92" s="58"/>
      <c r="C92" s="301">
        <f t="shared" ref="C92:I92" si="29">$B92*C39</f>
        <v>0</v>
      </c>
      <c r="D92" s="301">
        <f t="shared" si="29"/>
        <v>0</v>
      </c>
      <c r="E92" s="301">
        <f t="shared" si="29"/>
        <v>0</v>
      </c>
      <c r="F92" s="301">
        <f t="shared" si="29"/>
        <v>0</v>
      </c>
      <c r="G92" s="301">
        <f t="shared" si="29"/>
        <v>0</v>
      </c>
      <c r="H92" s="301">
        <f t="shared" si="29"/>
        <v>0</v>
      </c>
      <c r="I92" s="301">
        <f t="shared" si="29"/>
        <v>0</v>
      </c>
    </row>
    <row r="93" spans="1:9" ht="14.25" customHeight="1">
      <c r="A93" s="56">
        <f t="shared" si="0"/>
        <v>0</v>
      </c>
      <c r="B93" s="58"/>
      <c r="C93" s="301">
        <f t="shared" ref="C93:I93" si="30">$B93*C40</f>
        <v>0</v>
      </c>
      <c r="D93" s="301">
        <f t="shared" si="30"/>
        <v>0</v>
      </c>
      <c r="E93" s="301">
        <f t="shared" si="30"/>
        <v>0</v>
      </c>
      <c r="F93" s="301">
        <f t="shared" si="30"/>
        <v>0</v>
      </c>
      <c r="G93" s="301">
        <f t="shared" si="30"/>
        <v>0</v>
      </c>
      <c r="H93" s="301">
        <f t="shared" si="30"/>
        <v>0</v>
      </c>
      <c r="I93" s="301">
        <f t="shared" si="30"/>
        <v>0</v>
      </c>
    </row>
    <row r="94" spans="1:9" ht="14.25" customHeight="1">
      <c r="A94" s="56">
        <f t="shared" si="0"/>
        <v>0</v>
      </c>
      <c r="B94" s="58"/>
      <c r="C94" s="301">
        <f t="shared" ref="C94:I94" si="31">$B94*C41</f>
        <v>0</v>
      </c>
      <c r="D94" s="301">
        <f t="shared" si="31"/>
        <v>0</v>
      </c>
      <c r="E94" s="301">
        <f t="shared" si="31"/>
        <v>0</v>
      </c>
      <c r="F94" s="301">
        <f t="shared" si="31"/>
        <v>0</v>
      </c>
      <c r="G94" s="301">
        <f t="shared" si="31"/>
        <v>0</v>
      </c>
      <c r="H94" s="301">
        <f t="shared" si="31"/>
        <v>0</v>
      </c>
      <c r="I94" s="301">
        <f t="shared" si="31"/>
        <v>0</v>
      </c>
    </row>
    <row r="95" spans="1:9" ht="14.25" customHeight="1">
      <c r="A95" s="56" t="str">
        <f t="shared" si="0"/>
        <v>Onion</v>
      </c>
      <c r="B95" s="58"/>
      <c r="C95" s="301">
        <f t="shared" ref="C95:I95" si="32">$B95*C42</f>
        <v>0</v>
      </c>
      <c r="D95" s="301">
        <f t="shared" si="32"/>
        <v>0</v>
      </c>
      <c r="E95" s="301">
        <f t="shared" si="32"/>
        <v>0</v>
      </c>
      <c r="F95" s="301">
        <f t="shared" si="32"/>
        <v>0</v>
      </c>
      <c r="G95" s="301">
        <f t="shared" si="32"/>
        <v>0</v>
      </c>
      <c r="H95" s="301">
        <f t="shared" si="32"/>
        <v>0</v>
      </c>
      <c r="I95" s="301">
        <f t="shared" si="32"/>
        <v>0</v>
      </c>
    </row>
    <row r="96" spans="1:9" ht="14.25" customHeight="1">
      <c r="A96" s="56" t="str">
        <f t="shared" si="0"/>
        <v>Tomato</v>
      </c>
      <c r="B96" s="58"/>
      <c r="C96" s="301">
        <f t="shared" ref="C96:I96" si="33">$B96*C43</f>
        <v>0</v>
      </c>
      <c r="D96" s="301">
        <f t="shared" si="33"/>
        <v>0</v>
      </c>
      <c r="E96" s="301">
        <f t="shared" si="33"/>
        <v>0</v>
      </c>
      <c r="F96" s="301">
        <f t="shared" si="33"/>
        <v>0</v>
      </c>
      <c r="G96" s="301">
        <f t="shared" si="33"/>
        <v>0</v>
      </c>
      <c r="H96" s="301">
        <f t="shared" si="33"/>
        <v>0</v>
      </c>
      <c r="I96" s="301">
        <f t="shared" si="33"/>
        <v>0</v>
      </c>
    </row>
    <row r="97" spans="1:9" ht="14.25" customHeight="1">
      <c r="A97" s="56" t="str">
        <f t="shared" si="0"/>
        <v>Okra</v>
      </c>
      <c r="B97" s="58"/>
      <c r="C97" s="301">
        <f t="shared" ref="C97:I97" si="34">$B97*C44</f>
        <v>0</v>
      </c>
      <c r="D97" s="301">
        <f t="shared" si="34"/>
        <v>0</v>
      </c>
      <c r="E97" s="301">
        <f t="shared" si="34"/>
        <v>0</v>
      </c>
      <c r="F97" s="301">
        <f t="shared" si="34"/>
        <v>0</v>
      </c>
      <c r="G97" s="301">
        <f t="shared" si="34"/>
        <v>0</v>
      </c>
      <c r="H97" s="301">
        <f t="shared" si="34"/>
        <v>0</v>
      </c>
      <c r="I97" s="301">
        <f t="shared" si="34"/>
        <v>0</v>
      </c>
    </row>
    <row r="98" spans="1:9" ht="14.25" customHeight="1">
      <c r="A98" s="56" t="str">
        <f t="shared" si="0"/>
        <v>Chilli</v>
      </c>
      <c r="B98" s="58"/>
      <c r="C98" s="301">
        <f t="shared" ref="C98:I98" si="35">$B98*C45</f>
        <v>0</v>
      </c>
      <c r="D98" s="301">
        <f t="shared" si="35"/>
        <v>0</v>
      </c>
      <c r="E98" s="301">
        <f t="shared" si="35"/>
        <v>0</v>
      </c>
      <c r="F98" s="301">
        <f t="shared" si="35"/>
        <v>0</v>
      </c>
      <c r="G98" s="301">
        <f t="shared" si="35"/>
        <v>0</v>
      </c>
      <c r="H98" s="301">
        <f t="shared" si="35"/>
        <v>0</v>
      </c>
      <c r="I98" s="301">
        <f t="shared" si="35"/>
        <v>0</v>
      </c>
    </row>
    <row r="99" spans="1:9" ht="14.25" customHeight="1">
      <c r="A99" s="56" t="str">
        <f t="shared" si="0"/>
        <v>Brinjal</v>
      </c>
      <c r="B99" s="58"/>
      <c r="C99" s="301">
        <f t="shared" ref="C99:I99" si="36">$B99*C46</f>
        <v>0</v>
      </c>
      <c r="D99" s="301">
        <f t="shared" si="36"/>
        <v>0</v>
      </c>
      <c r="E99" s="301">
        <f t="shared" si="36"/>
        <v>0</v>
      </c>
      <c r="F99" s="301">
        <f t="shared" si="36"/>
        <v>0</v>
      </c>
      <c r="G99" s="301">
        <f t="shared" si="36"/>
        <v>0</v>
      </c>
      <c r="H99" s="301">
        <f t="shared" si="36"/>
        <v>0</v>
      </c>
      <c r="I99" s="301">
        <f t="shared" si="36"/>
        <v>0</v>
      </c>
    </row>
    <row r="100" spans="1:9" ht="14.25" customHeight="1">
      <c r="A100" s="56">
        <f t="shared" si="0"/>
        <v>0</v>
      </c>
      <c r="B100" s="58"/>
      <c r="C100" s="301">
        <f t="shared" ref="C100:I100" si="37">$B100*C47</f>
        <v>0</v>
      </c>
      <c r="D100" s="301">
        <f t="shared" si="37"/>
        <v>0</v>
      </c>
      <c r="E100" s="301">
        <f t="shared" si="37"/>
        <v>0</v>
      </c>
      <c r="F100" s="301">
        <f t="shared" si="37"/>
        <v>0</v>
      </c>
      <c r="G100" s="301">
        <f t="shared" si="37"/>
        <v>0</v>
      </c>
      <c r="H100" s="301">
        <f t="shared" si="37"/>
        <v>0</v>
      </c>
      <c r="I100" s="301">
        <f t="shared" si="37"/>
        <v>0</v>
      </c>
    </row>
    <row r="101" spans="1:9" ht="14.25" customHeight="1">
      <c r="A101" s="56">
        <f t="shared" si="0"/>
        <v>0</v>
      </c>
      <c r="B101" s="58"/>
      <c r="C101" s="301">
        <f t="shared" ref="C101:I101" si="38">$B101*C48</f>
        <v>0</v>
      </c>
      <c r="D101" s="301">
        <f t="shared" si="38"/>
        <v>0</v>
      </c>
      <c r="E101" s="301">
        <f t="shared" si="38"/>
        <v>0</v>
      </c>
      <c r="F101" s="301">
        <f t="shared" si="38"/>
        <v>0</v>
      </c>
      <c r="G101" s="301">
        <f t="shared" si="38"/>
        <v>0</v>
      </c>
      <c r="H101" s="301">
        <f t="shared" si="38"/>
        <v>0</v>
      </c>
      <c r="I101" s="301">
        <f t="shared" si="38"/>
        <v>0</v>
      </c>
    </row>
    <row r="102" spans="1:9" ht="14.25" customHeight="1">
      <c r="A102" s="56">
        <f t="shared" si="0"/>
        <v>0</v>
      </c>
      <c r="B102" s="58"/>
      <c r="C102" s="301">
        <f t="shared" ref="C102:I102" si="39">$B102*C49</f>
        <v>0</v>
      </c>
      <c r="D102" s="301">
        <f t="shared" si="39"/>
        <v>0</v>
      </c>
      <c r="E102" s="301">
        <f t="shared" si="39"/>
        <v>0</v>
      </c>
      <c r="F102" s="301">
        <f t="shared" si="39"/>
        <v>0</v>
      </c>
      <c r="G102" s="301">
        <f t="shared" si="39"/>
        <v>0</v>
      </c>
      <c r="H102" s="301">
        <f t="shared" si="39"/>
        <v>0</v>
      </c>
      <c r="I102" s="301">
        <f t="shared" si="39"/>
        <v>0</v>
      </c>
    </row>
    <row r="103" spans="1:9" ht="14.25" customHeight="1">
      <c r="A103" s="56">
        <f t="shared" si="0"/>
        <v>0</v>
      </c>
      <c r="B103" s="58"/>
      <c r="C103" s="301">
        <f t="shared" ref="C103:I103" si="40">$B103*C50</f>
        <v>0</v>
      </c>
      <c r="D103" s="301">
        <f t="shared" si="40"/>
        <v>0</v>
      </c>
      <c r="E103" s="301">
        <f t="shared" si="40"/>
        <v>0</v>
      </c>
      <c r="F103" s="301">
        <f t="shared" si="40"/>
        <v>0</v>
      </c>
      <c r="G103" s="301">
        <f t="shared" si="40"/>
        <v>0</v>
      </c>
      <c r="H103" s="301">
        <f t="shared" si="40"/>
        <v>0</v>
      </c>
      <c r="I103" s="301">
        <f t="shared" si="40"/>
        <v>0</v>
      </c>
    </row>
    <row r="104" spans="1:9" ht="14.25" customHeight="1">
      <c r="A104" s="56">
        <f t="shared" si="0"/>
        <v>0</v>
      </c>
      <c r="B104" s="58"/>
      <c r="C104" s="301">
        <f t="shared" ref="C104:I104" si="41">$B104*C51</f>
        <v>0</v>
      </c>
      <c r="D104" s="301">
        <f t="shared" si="41"/>
        <v>0</v>
      </c>
      <c r="E104" s="301">
        <f t="shared" si="41"/>
        <v>0</v>
      </c>
      <c r="F104" s="301">
        <f t="shared" si="41"/>
        <v>0</v>
      </c>
      <c r="G104" s="301">
        <f t="shared" si="41"/>
        <v>0</v>
      </c>
      <c r="H104" s="301">
        <f t="shared" si="41"/>
        <v>0</v>
      </c>
      <c r="I104" s="301">
        <f t="shared" si="41"/>
        <v>0</v>
      </c>
    </row>
    <row r="105" spans="1:9" ht="14.25" customHeight="1">
      <c r="A105" s="56">
        <f t="shared" si="0"/>
        <v>0</v>
      </c>
      <c r="B105" s="58"/>
      <c r="C105" s="301">
        <f t="shared" ref="C105:I105" si="42">$B105*C52</f>
        <v>0</v>
      </c>
      <c r="D105" s="301">
        <f t="shared" si="42"/>
        <v>0</v>
      </c>
      <c r="E105" s="301">
        <f t="shared" si="42"/>
        <v>0</v>
      </c>
      <c r="F105" s="301">
        <f t="shared" si="42"/>
        <v>0</v>
      </c>
      <c r="G105" s="301">
        <f t="shared" si="42"/>
        <v>0</v>
      </c>
      <c r="H105" s="301">
        <f t="shared" si="42"/>
        <v>0</v>
      </c>
      <c r="I105" s="301">
        <f t="shared" si="42"/>
        <v>0</v>
      </c>
    </row>
    <row r="106" spans="1:9" ht="14.25" customHeight="1">
      <c r="A106" s="56">
        <f t="shared" si="0"/>
        <v>0</v>
      </c>
      <c r="B106" s="58"/>
      <c r="C106" s="301">
        <f t="shared" ref="C106:I106" si="43">$B106*C53</f>
        <v>0</v>
      </c>
      <c r="D106" s="301">
        <f t="shared" si="43"/>
        <v>0</v>
      </c>
      <c r="E106" s="301">
        <f t="shared" si="43"/>
        <v>0</v>
      </c>
      <c r="F106" s="301">
        <f t="shared" si="43"/>
        <v>0</v>
      </c>
      <c r="G106" s="301">
        <f t="shared" si="43"/>
        <v>0</v>
      </c>
      <c r="H106" s="301">
        <f t="shared" si="43"/>
        <v>0</v>
      </c>
      <c r="I106" s="301">
        <f t="shared" si="43"/>
        <v>0</v>
      </c>
    </row>
    <row r="107" spans="1:9" ht="14.25" customHeight="1">
      <c r="A107" s="56" t="str">
        <f t="shared" si="0"/>
        <v>Pomegranate</v>
      </c>
      <c r="B107" s="58"/>
      <c r="C107" s="301">
        <f t="shared" ref="C107:I107" si="44">$B107*C54</f>
        <v>0</v>
      </c>
      <c r="D107" s="301">
        <f t="shared" si="44"/>
        <v>0</v>
      </c>
      <c r="E107" s="301">
        <f t="shared" si="44"/>
        <v>0</v>
      </c>
      <c r="F107" s="301">
        <f t="shared" si="44"/>
        <v>0</v>
      </c>
      <c r="G107" s="301">
        <f t="shared" si="44"/>
        <v>0</v>
      </c>
      <c r="H107" s="301">
        <f t="shared" si="44"/>
        <v>0</v>
      </c>
      <c r="I107" s="301">
        <f t="shared" si="44"/>
        <v>0</v>
      </c>
    </row>
    <row r="108" spans="1:9" ht="14.25" customHeight="1">
      <c r="A108" s="56" t="str">
        <f t="shared" si="0"/>
        <v>Custard Apple</v>
      </c>
      <c r="B108" s="58"/>
      <c r="C108" s="301">
        <f t="shared" ref="C108:I108" si="45">$B108*C55</f>
        <v>0</v>
      </c>
      <c r="D108" s="301">
        <f t="shared" si="45"/>
        <v>0</v>
      </c>
      <c r="E108" s="301">
        <f t="shared" si="45"/>
        <v>0</v>
      </c>
      <c r="F108" s="301">
        <f t="shared" si="45"/>
        <v>0</v>
      </c>
      <c r="G108" s="301">
        <f t="shared" si="45"/>
        <v>0</v>
      </c>
      <c r="H108" s="301">
        <f t="shared" si="45"/>
        <v>0</v>
      </c>
      <c r="I108" s="301">
        <f t="shared" si="45"/>
        <v>0</v>
      </c>
    </row>
    <row r="109" spans="1:9" ht="14.25" customHeight="1">
      <c r="A109" s="56" t="str">
        <f t="shared" si="0"/>
        <v>Guava</v>
      </c>
      <c r="B109" s="58"/>
      <c r="C109" s="301">
        <f t="shared" ref="C109:I109" si="46">$B109*C56</f>
        <v>0</v>
      </c>
      <c r="D109" s="301">
        <f t="shared" si="46"/>
        <v>0</v>
      </c>
      <c r="E109" s="301">
        <f t="shared" si="46"/>
        <v>0</v>
      </c>
      <c r="F109" s="301">
        <f t="shared" si="46"/>
        <v>0</v>
      </c>
      <c r="G109" s="301">
        <f t="shared" si="46"/>
        <v>0</v>
      </c>
      <c r="H109" s="301">
        <f t="shared" si="46"/>
        <v>0</v>
      </c>
      <c r="I109" s="301">
        <f t="shared" si="46"/>
        <v>0</v>
      </c>
    </row>
    <row r="110" spans="1:9" ht="14.25" customHeight="1">
      <c r="A110" s="56" t="str">
        <f t="shared" si="0"/>
        <v>Citrus</v>
      </c>
      <c r="B110" s="58"/>
      <c r="C110" s="301">
        <f t="shared" ref="C110:I110" si="47">$B110*C57</f>
        <v>0</v>
      </c>
      <c r="D110" s="301">
        <f t="shared" si="47"/>
        <v>0</v>
      </c>
      <c r="E110" s="301">
        <f t="shared" si="47"/>
        <v>0</v>
      </c>
      <c r="F110" s="301">
        <f t="shared" si="47"/>
        <v>0</v>
      </c>
      <c r="G110" s="301">
        <f t="shared" si="47"/>
        <v>0</v>
      </c>
      <c r="H110" s="301">
        <f t="shared" si="47"/>
        <v>0</v>
      </c>
      <c r="I110" s="301">
        <f t="shared" si="47"/>
        <v>0</v>
      </c>
    </row>
    <row r="111" spans="1:9" ht="14.25" customHeight="1">
      <c r="A111" s="56"/>
      <c r="B111" s="58"/>
      <c r="C111" s="301"/>
      <c r="D111" s="301"/>
      <c r="E111" s="301"/>
      <c r="F111" s="301"/>
      <c r="G111" s="301"/>
      <c r="H111" s="301"/>
      <c r="I111" s="301"/>
    </row>
    <row r="112" spans="1:9" ht="14.25" customHeight="1">
      <c r="A112" s="56"/>
      <c r="B112" s="58"/>
      <c r="C112" s="301"/>
      <c r="D112" s="301"/>
      <c r="E112" s="301"/>
      <c r="F112" s="301"/>
      <c r="G112" s="301"/>
      <c r="H112" s="301"/>
      <c r="I112" s="301"/>
    </row>
    <row r="113" spans="1:23" ht="14.25" customHeight="1">
      <c r="A113" s="98" t="s">
        <v>727</v>
      </c>
      <c r="B113" s="56" t="s">
        <v>728</v>
      </c>
      <c r="C113" s="56"/>
      <c r="D113" s="56"/>
      <c r="E113" s="56"/>
      <c r="F113" s="56"/>
      <c r="G113" s="56"/>
      <c r="H113" s="56"/>
      <c r="I113" s="56"/>
    </row>
    <row r="114" spans="1:23" ht="14.25" customHeight="1">
      <c r="A114" s="56" t="s">
        <v>729</v>
      </c>
      <c r="B114" s="58">
        <v>100</v>
      </c>
      <c r="C114" s="301">
        <f t="shared" ref="C114:I114" si="48">SUM(C62:C110)*$B$114</f>
        <v>0</v>
      </c>
      <c r="D114" s="301">
        <f t="shared" si="48"/>
        <v>0</v>
      </c>
      <c r="E114" s="301">
        <f t="shared" si="48"/>
        <v>0</v>
      </c>
      <c r="F114" s="301">
        <f t="shared" si="48"/>
        <v>0</v>
      </c>
      <c r="G114" s="301">
        <f t="shared" si="48"/>
        <v>0</v>
      </c>
      <c r="H114" s="301">
        <f t="shared" si="48"/>
        <v>0</v>
      </c>
      <c r="I114" s="301">
        <f t="shared" si="48"/>
        <v>0</v>
      </c>
    </row>
    <row r="115" spans="1:23" ht="14.25" customHeight="1">
      <c r="A115" s="56" t="s">
        <v>730</v>
      </c>
      <c r="B115" s="58">
        <v>30</v>
      </c>
      <c r="C115" s="301">
        <f t="shared" ref="C115:I115" si="49">SUM(C62:C110)*$B$115</f>
        <v>0</v>
      </c>
      <c r="D115" s="301">
        <f t="shared" si="49"/>
        <v>0</v>
      </c>
      <c r="E115" s="301">
        <f t="shared" si="49"/>
        <v>0</v>
      </c>
      <c r="F115" s="301">
        <f t="shared" si="49"/>
        <v>0</v>
      </c>
      <c r="G115" s="301">
        <f t="shared" si="49"/>
        <v>0</v>
      </c>
      <c r="H115" s="301">
        <f t="shared" si="49"/>
        <v>0</v>
      </c>
      <c r="I115" s="301">
        <f t="shared" si="49"/>
        <v>0</v>
      </c>
    </row>
    <row r="116" spans="1:23" ht="14.25" customHeight="1">
      <c r="A116" s="56" t="s">
        <v>731</v>
      </c>
      <c r="B116" s="58">
        <v>30</v>
      </c>
      <c r="C116" s="301">
        <f t="shared" ref="C116:I116" si="50">SUM(C62:C110)*$B$116</f>
        <v>0</v>
      </c>
      <c r="D116" s="301">
        <f t="shared" si="50"/>
        <v>0</v>
      </c>
      <c r="E116" s="301">
        <f t="shared" si="50"/>
        <v>0</v>
      </c>
      <c r="F116" s="301">
        <f t="shared" si="50"/>
        <v>0</v>
      </c>
      <c r="G116" s="301">
        <f t="shared" si="50"/>
        <v>0</v>
      </c>
      <c r="H116" s="301">
        <f t="shared" si="50"/>
        <v>0</v>
      </c>
      <c r="I116" s="301">
        <f t="shared" si="50"/>
        <v>0</v>
      </c>
    </row>
    <row r="117" spans="1:23" ht="14.25" customHeight="1">
      <c r="A117" s="98" t="s">
        <v>732</v>
      </c>
      <c r="B117" s="58"/>
      <c r="C117" s="56"/>
      <c r="D117" s="56"/>
      <c r="E117" s="56"/>
      <c r="F117" s="56"/>
      <c r="G117" s="56"/>
      <c r="H117" s="56"/>
      <c r="I117" s="56"/>
    </row>
    <row r="118" spans="1:23" ht="14.25" customHeight="1">
      <c r="A118" s="56" t="s">
        <v>733</v>
      </c>
      <c r="B118" s="58">
        <v>0.2</v>
      </c>
      <c r="C118" s="301">
        <f t="shared" ref="C118:I118" si="51">SUM(C62:C110)*$B$118</f>
        <v>0</v>
      </c>
      <c r="D118" s="301">
        <f t="shared" si="51"/>
        <v>0</v>
      </c>
      <c r="E118" s="301">
        <f t="shared" si="51"/>
        <v>0</v>
      </c>
      <c r="F118" s="301">
        <f t="shared" si="51"/>
        <v>0</v>
      </c>
      <c r="G118" s="301">
        <f t="shared" si="51"/>
        <v>0</v>
      </c>
      <c r="H118" s="301">
        <f t="shared" si="51"/>
        <v>0</v>
      </c>
      <c r="I118" s="301">
        <f t="shared" si="51"/>
        <v>0</v>
      </c>
    </row>
    <row r="119" spans="1:23" ht="14.25" customHeight="1">
      <c r="A119" s="56" t="s">
        <v>734</v>
      </c>
      <c r="B119" s="58">
        <v>0.5</v>
      </c>
      <c r="C119" s="301">
        <f t="shared" ref="C119:I119" si="52">SUM(C62:C110)*$B$119</f>
        <v>0</v>
      </c>
      <c r="D119" s="301">
        <f t="shared" si="52"/>
        <v>0</v>
      </c>
      <c r="E119" s="301">
        <f t="shared" si="52"/>
        <v>0</v>
      </c>
      <c r="F119" s="301">
        <f t="shared" si="52"/>
        <v>0</v>
      </c>
      <c r="G119" s="301">
        <f t="shared" si="52"/>
        <v>0</v>
      </c>
      <c r="H119" s="301">
        <f t="shared" si="52"/>
        <v>0</v>
      </c>
      <c r="I119" s="301">
        <f t="shared" si="52"/>
        <v>0</v>
      </c>
    </row>
    <row r="120" spans="1:23" ht="14.25" customHeight="1"/>
    <row r="121" spans="1:23" ht="14.25" customHeight="1"/>
    <row r="122" spans="1:23" ht="14.25" customHeight="1">
      <c r="A122" s="359" t="s">
        <v>735</v>
      </c>
      <c r="B122" s="360"/>
      <c r="C122" s="360"/>
      <c r="D122" s="360"/>
      <c r="E122" s="360"/>
      <c r="F122" s="360"/>
      <c r="G122" s="360"/>
      <c r="H122" s="360"/>
      <c r="I122" s="360"/>
      <c r="J122" s="360"/>
    </row>
    <row r="123" spans="1:23" ht="14.25" customHeight="1">
      <c r="A123" s="30"/>
      <c r="B123" s="30"/>
      <c r="C123" s="30"/>
      <c r="D123" s="30"/>
      <c r="E123" s="30"/>
      <c r="F123" s="30"/>
      <c r="G123" s="30"/>
      <c r="H123" s="30"/>
    </row>
    <row r="124" spans="1:23" ht="14.25" customHeight="1">
      <c r="A124" s="303"/>
      <c r="B124" s="303"/>
      <c r="C124" s="303"/>
      <c r="D124" s="304">
        <v>1</v>
      </c>
      <c r="E124" s="305">
        <f t="shared" ref="E124:J124" si="53">(D124*5%)+D124</f>
        <v>1.05</v>
      </c>
      <c r="F124" s="305">
        <f t="shared" si="53"/>
        <v>1.1025</v>
      </c>
      <c r="G124" s="305">
        <f t="shared" si="53"/>
        <v>1.1576250000000001</v>
      </c>
      <c r="H124" s="305">
        <f t="shared" si="53"/>
        <v>1.2155062500000002</v>
      </c>
      <c r="I124" s="305">
        <f t="shared" si="53"/>
        <v>1.2762815625000004</v>
      </c>
      <c r="J124" s="305">
        <f t="shared" si="53"/>
        <v>1.3400956406250004</v>
      </c>
      <c r="K124" s="92"/>
      <c r="U124" s="92"/>
      <c r="V124" s="92"/>
      <c r="W124" s="92"/>
    </row>
    <row r="125" spans="1:23" ht="14.25" customHeight="1">
      <c r="A125" s="92"/>
      <c r="B125" s="92"/>
      <c r="C125" s="92"/>
      <c r="D125" s="92"/>
      <c r="E125" s="92"/>
      <c r="F125" s="92"/>
      <c r="G125" s="92"/>
      <c r="H125" s="92"/>
      <c r="I125" s="92"/>
      <c r="J125" s="92"/>
      <c r="K125" s="92"/>
      <c r="U125" s="92"/>
      <c r="V125" s="92"/>
      <c r="W125" s="92"/>
    </row>
    <row r="126" spans="1:23" ht="14.25" customHeight="1">
      <c r="A126" s="95" t="s">
        <v>201</v>
      </c>
      <c r="B126" s="95" t="s">
        <v>115</v>
      </c>
      <c r="C126" s="95" t="s">
        <v>129</v>
      </c>
      <c r="D126" s="96" t="s">
        <v>204</v>
      </c>
      <c r="E126" s="96" t="s">
        <v>205</v>
      </c>
      <c r="F126" s="96" t="s">
        <v>206</v>
      </c>
      <c r="G126" s="96" t="s">
        <v>207</v>
      </c>
      <c r="H126" s="96" t="s">
        <v>208</v>
      </c>
      <c r="I126" s="96" t="s">
        <v>209</v>
      </c>
      <c r="J126" s="96" t="s">
        <v>210</v>
      </c>
      <c r="K126" s="92"/>
      <c r="U126" s="92"/>
      <c r="V126" s="92"/>
      <c r="W126" s="92"/>
    </row>
    <row r="127" spans="1:23" ht="14.25" customHeight="1">
      <c r="A127" s="98" t="s">
        <v>736</v>
      </c>
      <c r="B127" s="56"/>
      <c r="C127" s="56"/>
      <c r="D127" s="56"/>
      <c r="E127" s="56"/>
      <c r="F127" s="56"/>
      <c r="G127" s="56"/>
      <c r="H127" s="56"/>
      <c r="I127" s="56"/>
      <c r="J127" s="56"/>
      <c r="K127" s="92"/>
      <c r="U127" s="92"/>
      <c r="V127" s="92"/>
      <c r="W127" s="92"/>
    </row>
    <row r="128" spans="1:23" ht="14.25" customHeight="1">
      <c r="A128" s="56" t="s">
        <v>737</v>
      </c>
      <c r="B128" s="56"/>
      <c r="C128" s="56"/>
      <c r="D128" s="56"/>
      <c r="E128" s="56"/>
      <c r="F128" s="56"/>
      <c r="G128" s="56"/>
      <c r="H128" s="56"/>
      <c r="I128" s="56"/>
      <c r="J128" s="56"/>
      <c r="K128" s="92"/>
      <c r="U128" s="92"/>
      <c r="V128" s="92"/>
      <c r="W128" s="92"/>
    </row>
    <row r="129" spans="1:23" ht="14.25" customHeight="1">
      <c r="A129" s="98" t="str">
        <f t="shared" ref="A129:A179" si="54">A8</f>
        <v>Kharif Crops</v>
      </c>
      <c r="B129" s="56"/>
      <c r="C129" s="56" t="s">
        <v>738</v>
      </c>
      <c r="D129" s="56"/>
      <c r="E129" s="56"/>
      <c r="F129" s="56"/>
      <c r="G129" s="56"/>
      <c r="H129" s="56"/>
      <c r="I129" s="56"/>
      <c r="J129" s="56"/>
      <c r="K129" s="92"/>
      <c r="U129" s="92"/>
      <c r="V129" s="92"/>
      <c r="W129" s="92"/>
    </row>
    <row r="130" spans="1:23" ht="14.25" customHeight="1">
      <c r="A130" s="56" t="str">
        <f t="shared" si="54"/>
        <v>Soybean</v>
      </c>
      <c r="B130" s="56"/>
      <c r="C130" s="58">
        <v>90</v>
      </c>
      <c r="D130" s="97">
        <f>(C62*(1-'5.Closing Stock &amp; W Capital'!$D$15))*$C$130*D$124</f>
        <v>0</v>
      </c>
      <c r="E130" s="97">
        <f>((D62*(1-'5.Closing Stock &amp; W Capital'!$D$15))+(C62*'5.Closing Stock &amp; W Capital'!$D$15))*$C$130*E$124</f>
        <v>0</v>
      </c>
      <c r="F130" s="97">
        <f>((E62*(1-'5.Closing Stock &amp; W Capital'!$D$15))+(D62*'5.Closing Stock &amp; W Capital'!$D$15))*$C$130*F$124</f>
        <v>0</v>
      </c>
      <c r="G130" s="97">
        <f>((F62*(1-'5.Closing Stock &amp; W Capital'!$D$15))+(E62*'5.Closing Stock &amp; W Capital'!$D$15))*$C$130*G$124</f>
        <v>0</v>
      </c>
      <c r="H130" s="97">
        <f>((G62*(1-'5.Closing Stock &amp; W Capital'!$D$15))+(F62*'5.Closing Stock &amp; W Capital'!$D$15))*$C$130*H$124</f>
        <v>0</v>
      </c>
      <c r="I130" s="97">
        <f>((H62*(1-'5.Closing Stock &amp; W Capital'!$D$15))+(G62*'5.Closing Stock &amp; W Capital'!$D$15))*$C$130*I$124</f>
        <v>0</v>
      </c>
      <c r="J130" s="97">
        <f>((I62*(1-'5.Closing Stock &amp; W Capital'!$D$15))+(H62*'5.Closing Stock &amp; W Capital'!$D$15))*$C$130*J$124</f>
        <v>0</v>
      </c>
      <c r="K130" s="93"/>
      <c r="U130" s="92"/>
      <c r="V130" s="92"/>
      <c r="W130" s="92"/>
    </row>
    <row r="131" spans="1:23" ht="14.25" customHeight="1">
      <c r="A131" s="56" t="str">
        <f t="shared" si="54"/>
        <v>Red Gram/Tur</v>
      </c>
      <c r="B131" s="56"/>
      <c r="C131" s="316">
        <v>80</v>
      </c>
      <c r="D131" s="97">
        <f>(C63*(1-'5.Closing Stock &amp; W Capital'!$D$15))*$C$131*D$124</f>
        <v>0</v>
      </c>
      <c r="E131" s="97">
        <f>((D63*(1-'5.Closing Stock &amp; W Capital'!$D$15))+(C63*'5.Closing Stock &amp; W Capital'!$D$15))*$C$131*E$124</f>
        <v>0</v>
      </c>
      <c r="F131" s="97">
        <f>((E63*(1-'5.Closing Stock &amp; W Capital'!$D$15))+(D63*'5.Closing Stock &amp; W Capital'!$D$15))*$C$131*F$124</f>
        <v>0</v>
      </c>
      <c r="G131" s="97">
        <f>((F63*(1-'5.Closing Stock &amp; W Capital'!$D$15))+(E63*'5.Closing Stock &amp; W Capital'!$D$15))*$C$131*G124</f>
        <v>0</v>
      </c>
      <c r="H131" s="97">
        <f>((G63*(1-'5.Closing Stock &amp; W Capital'!$D$15))+(F63*'5.Closing Stock &amp; W Capital'!$D$15))*$C$131*H124</f>
        <v>0</v>
      </c>
      <c r="I131" s="97">
        <f>((H63*(1-'5.Closing Stock &amp; W Capital'!$D$15))+(G63*'5.Closing Stock &amp; W Capital'!$D$15))*$C$131*I124</f>
        <v>0</v>
      </c>
      <c r="J131" s="97">
        <f>((I63*(1-'5.Closing Stock &amp; W Capital'!$D$15))+(H63*'5.Closing Stock &amp; W Capital'!$D$15))*$C$131*J124</f>
        <v>0</v>
      </c>
      <c r="K131" s="92"/>
      <c r="U131" s="93"/>
      <c r="V131" s="92"/>
      <c r="W131" s="92"/>
    </row>
    <row r="132" spans="1:23" ht="14.25" customHeight="1">
      <c r="A132" s="56" t="str">
        <f t="shared" si="54"/>
        <v>Paddy/Rice</v>
      </c>
      <c r="B132" s="56"/>
      <c r="C132" s="316">
        <v>65</v>
      </c>
      <c r="D132" s="97">
        <f>(C64*(1-'5.Closing Stock &amp; W Capital'!$D$15))*$C$132*D$124</f>
        <v>0</v>
      </c>
      <c r="E132" s="97">
        <f>((D64*(1-'5.Closing Stock &amp; W Capital'!$D$15))+(C64*'5.Closing Stock &amp; W Capital'!$D$15))*$C$132*E$124</f>
        <v>0</v>
      </c>
      <c r="F132" s="97">
        <f>((E64*(1-'5.Closing Stock &amp; W Capital'!$D$15))+(D64*'5.Closing Stock &amp; W Capital'!$D$15))*$C$132*F$124</f>
        <v>0</v>
      </c>
      <c r="G132" s="97">
        <f>((F64*(1-'5.Closing Stock &amp; W Capital'!$D$15))+(E64*'5.Closing Stock &amp; W Capital'!$D$15))*$C$132*G124</f>
        <v>0</v>
      </c>
      <c r="H132" s="97">
        <f>((G64*(1-'5.Closing Stock &amp; W Capital'!$D$15))+(F64*'5.Closing Stock &amp; W Capital'!$D$15))*$C$132*H124</f>
        <v>0</v>
      </c>
      <c r="I132" s="97">
        <f>((H64*(1-'5.Closing Stock &amp; W Capital'!$D$15))+(G64*'5.Closing Stock &amp; W Capital'!$D$15))*$C$132*I124</f>
        <v>0</v>
      </c>
      <c r="J132" s="97">
        <f>((I64*(1-'5.Closing Stock &amp; W Capital'!$D$15))+(H64*'5.Closing Stock &amp; W Capital'!$D$15))*$C$132*J124</f>
        <v>0</v>
      </c>
      <c r="K132" s="92"/>
      <c r="U132" s="92"/>
      <c r="V132" s="92"/>
      <c r="W132" s="92"/>
    </row>
    <row r="133" spans="1:23" ht="14.25" customHeight="1">
      <c r="A133" s="56" t="str">
        <f t="shared" si="54"/>
        <v>Green Gram/ Moong</v>
      </c>
      <c r="B133" s="56"/>
      <c r="C133" s="316">
        <v>85</v>
      </c>
      <c r="D133" s="97">
        <f>(C65*(1-'5.Closing Stock &amp; W Capital'!$D$15))*$C$133*D$124</f>
        <v>0</v>
      </c>
      <c r="E133" s="97">
        <f>((D65*(1-'5.Closing Stock &amp; W Capital'!$D$15))+(C65*'5.Closing Stock &amp; W Capital'!$D$15))*$C$133*E$124</f>
        <v>0</v>
      </c>
      <c r="F133" s="97">
        <f>((E65*(1-'5.Closing Stock &amp; W Capital'!$D$15))+(D65*'5.Closing Stock &amp; W Capital'!$D$15))*$C$133*F$124</f>
        <v>0</v>
      </c>
      <c r="G133" s="97">
        <f>((F65*(1-'5.Closing Stock &amp; W Capital'!$D$15))+(E65*'5.Closing Stock &amp; W Capital'!$D$15))*$C$133*G$124</f>
        <v>0</v>
      </c>
      <c r="H133" s="97">
        <f>((G65*(1-'5.Closing Stock &amp; W Capital'!$D$15))+(F65*'5.Closing Stock &amp; W Capital'!$D$15))*$C$133*H$124</f>
        <v>0</v>
      </c>
      <c r="I133" s="97">
        <f>((H65*(1-'5.Closing Stock &amp; W Capital'!$D$15))+(G65*'5.Closing Stock &amp; W Capital'!$D$15))*$C$133*I$124</f>
        <v>0</v>
      </c>
      <c r="J133" s="97">
        <f>((I65*(1-'5.Closing Stock &amp; W Capital'!$D$15))+(H65*'5.Closing Stock &amp; W Capital'!$D$15))*$C$133*J$124</f>
        <v>0</v>
      </c>
      <c r="K133" s="92"/>
      <c r="U133" s="92"/>
      <c r="V133" s="92"/>
      <c r="W133" s="92"/>
    </row>
    <row r="134" spans="1:23" ht="14.25" customHeight="1">
      <c r="A134" s="56" t="str">
        <f t="shared" si="54"/>
        <v>Maize</v>
      </c>
      <c r="B134" s="56"/>
      <c r="C134" s="316">
        <v>37</v>
      </c>
      <c r="D134" s="97">
        <f>(C66*(1-'5.Closing Stock &amp; W Capital'!$D$15))*$C$134*D$124</f>
        <v>0</v>
      </c>
      <c r="E134" s="97">
        <f>((D66*(1-'5.Closing Stock &amp; W Capital'!$D$15))+(C66*'5.Closing Stock &amp; W Capital'!$D$15))*$C$135*E$124</f>
        <v>0</v>
      </c>
      <c r="F134" s="97">
        <f>((E66*(1-'5.Closing Stock &amp; W Capital'!$D$15))+(D66*'5.Closing Stock &amp; W Capital'!$D$15))*$C$135*F$124</f>
        <v>0</v>
      </c>
      <c r="G134" s="97">
        <f>((F66*(1-'5.Closing Stock &amp; W Capital'!$D$15))+(E66*'5.Closing Stock &amp; W Capital'!$D$15))*$C$135*G$124</f>
        <v>0</v>
      </c>
      <c r="H134" s="97">
        <f>((G66*(1-'5.Closing Stock &amp; W Capital'!$D$15))+(F66*'5.Closing Stock &amp; W Capital'!$D$15))*$C$135*H$124</f>
        <v>0</v>
      </c>
      <c r="I134" s="97">
        <f>((H66*(1-'5.Closing Stock &amp; W Capital'!$D$15))+(G66*'5.Closing Stock &amp; W Capital'!$D$15))*$C$135*I$124</f>
        <v>0</v>
      </c>
      <c r="J134" s="97">
        <f>((I66*(1-'5.Closing Stock &amp; W Capital'!$D$15))+(H66*'5.Closing Stock &amp; W Capital'!$D$15))*$C$135*J$124</f>
        <v>0</v>
      </c>
      <c r="K134" s="92"/>
      <c r="U134" s="92"/>
      <c r="V134" s="92"/>
      <c r="W134" s="92"/>
    </row>
    <row r="135" spans="1:23" ht="14.25" customHeight="1">
      <c r="A135" s="56" t="str">
        <f t="shared" si="54"/>
        <v>Black Gram/Udid</v>
      </c>
      <c r="B135" s="56"/>
      <c r="C135" s="316">
        <v>75</v>
      </c>
      <c r="D135" s="97">
        <f>(C67*(1-'5.Closing Stock &amp; W Capital'!$D$15))*$C$135*D$124</f>
        <v>0</v>
      </c>
      <c r="E135" s="97">
        <f>((D67*(1-'5.Closing Stock &amp; W Capital'!$D$15))+(C67*'5.Closing Stock &amp; W Capital'!$D$15))*$C$135*E$124</f>
        <v>0</v>
      </c>
      <c r="F135" s="97">
        <f>((E67*(1-'5.Closing Stock &amp; W Capital'!$D$15))+(D67*'5.Closing Stock &amp; W Capital'!$D$15))*$C$135*F$124</f>
        <v>0</v>
      </c>
      <c r="G135" s="97">
        <f>((F67*(1-'5.Closing Stock &amp; W Capital'!$D$15))+(E67*'5.Closing Stock &amp; W Capital'!$D$15))*$C$135*G$124</f>
        <v>0</v>
      </c>
      <c r="H135" s="97">
        <f>((G67*(1-'5.Closing Stock &amp; W Capital'!$D$15))+(F67*'5.Closing Stock &amp; W Capital'!$D$15))*$C$135*H$124</f>
        <v>0</v>
      </c>
      <c r="I135" s="97">
        <f>((H67*(1-'5.Closing Stock &amp; W Capital'!$D$15))+(G67*'5.Closing Stock &amp; W Capital'!$D$15))*$C$135*I$124</f>
        <v>0</v>
      </c>
      <c r="J135" s="97">
        <f>((I67*(1-'5.Closing Stock &amp; W Capital'!$D$15))+(H67*'5.Closing Stock &amp; W Capital'!$D$15))*$C$135*J$124</f>
        <v>0</v>
      </c>
      <c r="K135" s="92"/>
      <c r="U135" s="92"/>
      <c r="V135" s="92"/>
      <c r="W135" s="92"/>
    </row>
    <row r="136" spans="1:23" ht="14.25" customHeight="1">
      <c r="A136" s="56" t="str">
        <f t="shared" si="54"/>
        <v>Bajra</v>
      </c>
      <c r="B136" s="56"/>
      <c r="C136" s="316">
        <v>30</v>
      </c>
      <c r="D136" s="97">
        <f>(C68*(1-'5.Closing Stock &amp; W Capital'!$D$15))*$C$136*D$124</f>
        <v>0</v>
      </c>
      <c r="E136" s="97">
        <f>((D68*(1-'5.Closing Stock &amp; W Capital'!$D$15))+(C68*'5.Closing Stock &amp; W Capital'!$D$15))*$C$136*E$124</f>
        <v>0</v>
      </c>
      <c r="F136" s="97">
        <f>((E68*(1-'5.Closing Stock &amp; W Capital'!$D$15))+(D68*'5.Closing Stock &amp; W Capital'!$D$15))*$C$136*F$124</f>
        <v>0</v>
      </c>
      <c r="G136" s="97">
        <f>((F68*(1-'5.Closing Stock &amp; W Capital'!$D$15))+(E68*'5.Closing Stock &amp; W Capital'!$D$15))*$C$136*G$124</f>
        <v>0</v>
      </c>
      <c r="H136" s="97">
        <f>((G68*(1-'5.Closing Stock &amp; W Capital'!$D$15))+(F68*'5.Closing Stock &amp; W Capital'!$D$15))*$C$136*H$124</f>
        <v>0</v>
      </c>
      <c r="I136" s="97">
        <f>((H68*(1-'5.Closing Stock &amp; W Capital'!$D$15))+(G68*'5.Closing Stock &amp; W Capital'!$D$15))*$C$136*I$124</f>
        <v>0</v>
      </c>
      <c r="J136" s="97">
        <f>((I68*(1-'5.Closing Stock &amp; W Capital'!$D$15))+(H68*'5.Closing Stock &amp; W Capital'!$D$15))*$C$136*J$124</f>
        <v>0</v>
      </c>
      <c r="K136" s="92"/>
      <c r="U136" s="92"/>
      <c r="V136" s="92"/>
      <c r="W136" s="92"/>
    </row>
    <row r="137" spans="1:23" ht="14.25" customHeight="1">
      <c r="A137" s="56" t="str">
        <f t="shared" si="54"/>
        <v>Jawar</v>
      </c>
      <c r="B137" s="56"/>
      <c r="C137" s="316">
        <v>30</v>
      </c>
      <c r="D137" s="97">
        <f>(C69*(1-'5.Closing Stock &amp; W Capital'!$D$15))*$C$137*D$124</f>
        <v>0</v>
      </c>
      <c r="E137" s="97">
        <f>((D69*(1-'5.Closing Stock &amp; W Capital'!$D$15))+(C69*'5.Closing Stock &amp; W Capital'!$D$15))*$C$137*E$124</f>
        <v>0</v>
      </c>
      <c r="F137" s="97">
        <f>((E69*(1-'5.Closing Stock &amp; W Capital'!$D$15))+(D69*'5.Closing Stock &amp; W Capital'!$D$15))*$C$137*F$124</f>
        <v>0</v>
      </c>
      <c r="G137" s="97">
        <f>((F69*(1-'5.Closing Stock &amp; W Capital'!$D$15))+(E69*'5.Closing Stock &amp; W Capital'!$D$15))*$C$137*G$124</f>
        <v>0</v>
      </c>
      <c r="H137" s="97">
        <f>((G69*(1-'5.Closing Stock &amp; W Capital'!$D$15))+(F69*'5.Closing Stock &amp; W Capital'!$D$15))*$C$137*H$124</f>
        <v>0</v>
      </c>
      <c r="I137" s="97">
        <f>((H69*(1-'5.Closing Stock &amp; W Capital'!$D$15))+(G69*'5.Closing Stock &amp; W Capital'!$D$15))*$C$137*I$124</f>
        <v>0</v>
      </c>
      <c r="J137" s="97">
        <f>((I69*(1-'5.Closing Stock &amp; W Capital'!$D$15))+(H69*'5.Closing Stock &amp; W Capital'!$D$15))*$C$137*J$124</f>
        <v>0</v>
      </c>
      <c r="K137" s="92"/>
      <c r="U137" s="92"/>
      <c r="V137" s="92"/>
      <c r="W137" s="92"/>
    </row>
    <row r="138" spans="1:23" ht="14.25" customHeight="1">
      <c r="A138" s="98" t="str">
        <f t="shared" si="54"/>
        <v>Rabi Crop</v>
      </c>
      <c r="B138" s="56"/>
      <c r="C138" s="316"/>
      <c r="D138" s="97"/>
      <c r="E138" s="97"/>
      <c r="F138" s="97"/>
      <c r="G138" s="97"/>
      <c r="H138" s="97"/>
      <c r="I138" s="97"/>
      <c r="J138" s="97"/>
      <c r="K138" s="92"/>
      <c r="U138" s="92"/>
      <c r="V138" s="92"/>
      <c r="W138" s="92"/>
    </row>
    <row r="139" spans="1:23" ht="14.25" customHeight="1">
      <c r="A139" s="56" t="str">
        <f t="shared" si="54"/>
        <v>Wheat</v>
      </c>
      <c r="B139" s="56"/>
      <c r="C139" s="316">
        <v>40</v>
      </c>
      <c r="D139" s="97">
        <f>(C71*(1-'5.Closing Stock &amp; W Capital'!$D$15))*$C$139*D$124</f>
        <v>0</v>
      </c>
      <c r="E139" s="97">
        <f>((D71*(1-'5.Closing Stock &amp; W Capital'!$D$15))+(C71*'5.Closing Stock &amp; W Capital'!$D$15))*$C$139*E$124</f>
        <v>0</v>
      </c>
      <c r="F139" s="97">
        <f>((E71*(1-'5.Closing Stock &amp; W Capital'!$D$15))+(D71*'5.Closing Stock &amp; W Capital'!$D$15))*$C$139*F$124</f>
        <v>0</v>
      </c>
      <c r="G139" s="97">
        <f>((F71*(1-'5.Closing Stock &amp; W Capital'!$D$15))+(E71*'5.Closing Stock &amp; W Capital'!$D$15))*$C$139*G$124</f>
        <v>0</v>
      </c>
      <c r="H139" s="97">
        <f>((G71*(1-'5.Closing Stock &amp; W Capital'!$D$15))+(F71*'5.Closing Stock &amp; W Capital'!$D$15))*$C$139*H$124</f>
        <v>0</v>
      </c>
      <c r="I139" s="97">
        <f>((H71*(1-'5.Closing Stock &amp; W Capital'!$D$15))+(G71*'5.Closing Stock &amp; W Capital'!$D$15))*$C$139*I$124</f>
        <v>0</v>
      </c>
      <c r="J139" s="97">
        <f>((I71*(1-'5.Closing Stock &amp; W Capital'!$D$15))+(H71*'5.Closing Stock &amp; W Capital'!$D$15))*$C$139*J$124</f>
        <v>0</v>
      </c>
      <c r="K139" s="92"/>
      <c r="U139" s="92"/>
      <c r="V139" s="92"/>
      <c r="W139" s="92"/>
    </row>
    <row r="140" spans="1:23" ht="14.25" customHeight="1">
      <c r="A140" s="56" t="str">
        <f t="shared" si="54"/>
        <v>Bengal Gram/Channa</v>
      </c>
      <c r="B140" s="56"/>
      <c r="C140" s="316">
        <v>75</v>
      </c>
      <c r="D140" s="97">
        <f>(C72*(1-'5.Closing Stock &amp; W Capital'!$D$15))*$C$140*D$124</f>
        <v>0</v>
      </c>
      <c r="E140" s="97">
        <f>((D72*(1-'5.Closing Stock &amp; W Capital'!$D$15))+(C72*'5.Closing Stock &amp; W Capital'!$D$15))*$C$140*E$124</f>
        <v>0</v>
      </c>
      <c r="F140" s="97">
        <f>((E72*(1-'5.Closing Stock &amp; W Capital'!$D$15))+(D72*'5.Closing Stock &amp; W Capital'!$D$15))*$C$140*F$124</f>
        <v>0</v>
      </c>
      <c r="G140" s="97">
        <f>((F72*(1-'5.Closing Stock &amp; W Capital'!$D$15))+(E72*'5.Closing Stock &amp; W Capital'!$D$15))*$C$140*G$124</f>
        <v>0</v>
      </c>
      <c r="H140" s="97">
        <f>((G72*(1-'5.Closing Stock &amp; W Capital'!$D$15))+(F72*'5.Closing Stock &amp; W Capital'!$D$15))*$C$140*H$124</f>
        <v>0</v>
      </c>
      <c r="I140" s="97">
        <f>((H72*(1-'5.Closing Stock &amp; W Capital'!$D$15))+(G72*'5.Closing Stock &amp; W Capital'!$D$15))*$C$140*I$124</f>
        <v>0</v>
      </c>
      <c r="J140" s="97">
        <f>((I72*(1-'5.Closing Stock &amp; W Capital'!$D$15))+(H72*'5.Closing Stock &amp; W Capital'!$D$15))*$C$140*J$124</f>
        <v>0</v>
      </c>
      <c r="K140" s="92"/>
      <c r="U140" s="92"/>
      <c r="V140" s="92"/>
      <c r="W140" s="92"/>
    </row>
    <row r="141" spans="1:23" ht="14.25" customHeight="1">
      <c r="A141" s="56" t="str">
        <f t="shared" si="54"/>
        <v>Jawar</v>
      </c>
      <c r="B141" s="56"/>
      <c r="C141" s="316">
        <v>27</v>
      </c>
      <c r="D141" s="97">
        <f>(C73*(1-'5.Closing Stock &amp; W Capital'!$D$15))*$C$141*D$124</f>
        <v>0</v>
      </c>
      <c r="E141" s="97">
        <f>((D73*(1-'5.Closing Stock &amp; W Capital'!$D$15))+(C73*'5.Closing Stock &amp; W Capital'!$D$15))*$C$141*E$124</f>
        <v>0</v>
      </c>
      <c r="F141" s="97">
        <f>((E73*(1-'5.Closing Stock &amp; W Capital'!$D$15))+(D73*'5.Closing Stock &amp; W Capital'!$D$15))*$C$141*F$124</f>
        <v>0</v>
      </c>
      <c r="G141" s="97">
        <f>((F73*(1-'5.Closing Stock &amp; W Capital'!$D$15))+(E73*'5.Closing Stock &amp; W Capital'!$D$15))*$C$141*G$124</f>
        <v>0</v>
      </c>
      <c r="H141" s="97">
        <f>((G73*(1-'5.Closing Stock &amp; W Capital'!$D$15))+(F73*'5.Closing Stock &amp; W Capital'!$D$15))*$C$141*H$124</f>
        <v>0</v>
      </c>
      <c r="I141" s="97">
        <f>((H73*(1-'5.Closing Stock &amp; W Capital'!$D$15))+(G73*'5.Closing Stock &amp; W Capital'!$D$15))*$C$141*I$124</f>
        <v>0</v>
      </c>
      <c r="J141" s="97">
        <f>((I73*(1-'5.Closing Stock &amp; W Capital'!$D$15))+(H73*'5.Closing Stock &amp; W Capital'!$D$15))*$C$141*J$124</f>
        <v>0</v>
      </c>
      <c r="K141" s="92"/>
      <c r="U141" s="92"/>
      <c r="V141" s="92"/>
      <c r="W141" s="92"/>
    </row>
    <row r="142" spans="1:23" ht="14.25" customHeight="1">
      <c r="A142" s="56" t="str">
        <f t="shared" si="54"/>
        <v>Maize</v>
      </c>
      <c r="B142" s="56"/>
      <c r="C142" s="316">
        <v>27</v>
      </c>
      <c r="D142" s="97">
        <f>(C74*(1-'5.Closing Stock &amp; W Capital'!$D$15))*$C$142*D$124</f>
        <v>0</v>
      </c>
      <c r="E142" s="97">
        <f>((D74*(1-'5.Closing Stock &amp; W Capital'!$D$15))+(C74*'5.Closing Stock &amp; W Capital'!$D$15))*$C$142*E$124</f>
        <v>0</v>
      </c>
      <c r="F142" s="97">
        <f>((E74*(1-'5.Closing Stock &amp; W Capital'!$D$15))+(D74*'5.Closing Stock &amp; W Capital'!$D$15))*$C$142*F$124</f>
        <v>0</v>
      </c>
      <c r="G142" s="97">
        <f>((F74*(1-'5.Closing Stock &amp; W Capital'!$D$15))+(E74*'5.Closing Stock &amp; W Capital'!$D$15))*$C$142*G$124</f>
        <v>0</v>
      </c>
      <c r="H142" s="97">
        <f>((G74*(1-'5.Closing Stock &amp; W Capital'!$D$15))+(F74*'5.Closing Stock &amp; W Capital'!$D$15))*$C$142*H$124</f>
        <v>0</v>
      </c>
      <c r="I142" s="97">
        <f>((H74*(1-'5.Closing Stock &amp; W Capital'!$D$15))+(G74*'5.Closing Stock &amp; W Capital'!$D$15))*$C$142*I$124</f>
        <v>0</v>
      </c>
      <c r="J142" s="97">
        <f>((I74*(1-'5.Closing Stock &amp; W Capital'!$D$15))+(H74*'5.Closing Stock &amp; W Capital'!$D$15))*$C$142*J$124</f>
        <v>0</v>
      </c>
      <c r="K142" s="92"/>
      <c r="U142" s="92"/>
      <c r="V142" s="92"/>
      <c r="W142" s="92"/>
    </row>
    <row r="143" spans="1:23" ht="14.25" customHeight="1">
      <c r="A143" s="56" t="str">
        <f t="shared" si="54"/>
        <v>Safflower</v>
      </c>
      <c r="B143" s="56"/>
      <c r="C143" s="316"/>
      <c r="D143" s="97">
        <f>(C75*(1-'5.Closing Stock &amp; W Capital'!$D$15))*$C$143*D$124</f>
        <v>0</v>
      </c>
      <c r="E143" s="97">
        <f>((D75*(1-'5.Closing Stock &amp; W Capital'!$D$15))+(C75*'5.Closing Stock &amp; W Capital'!$D$15))*$C$143*E$124</f>
        <v>0</v>
      </c>
      <c r="F143" s="97">
        <f>((E75*(1-'5.Closing Stock &amp; W Capital'!$D$15))+(D75*'5.Closing Stock &amp; W Capital'!$D$15))*$C$143*F$124</f>
        <v>0</v>
      </c>
      <c r="G143" s="97">
        <f>((F75*(1-'5.Closing Stock &amp; W Capital'!$D$15))+(E75*'5.Closing Stock &amp; W Capital'!$D$15))*$C$143*G$124</f>
        <v>0</v>
      </c>
      <c r="H143" s="97">
        <f>((G75*(1-'5.Closing Stock &amp; W Capital'!$D$15))+(F75*'5.Closing Stock &amp; W Capital'!$D$15))*$C$143*H$124</f>
        <v>0</v>
      </c>
      <c r="I143" s="97">
        <f>((H75*(1-'5.Closing Stock &amp; W Capital'!$D$15))+(G75*'5.Closing Stock &amp; W Capital'!$D$15))*$C$143*I$124</f>
        <v>0</v>
      </c>
      <c r="J143" s="97">
        <f>((I75*(1-'5.Closing Stock &amp; W Capital'!$D$15))+(H75*'5.Closing Stock &amp; W Capital'!$D$15))*$C$143*J$124</f>
        <v>0</v>
      </c>
      <c r="K143" s="92"/>
      <c r="U143" s="92"/>
      <c r="V143" s="92"/>
      <c r="W143" s="92"/>
    </row>
    <row r="144" spans="1:23" ht="14.25" customHeight="1">
      <c r="A144" s="56">
        <f t="shared" si="54"/>
        <v>0</v>
      </c>
      <c r="B144" s="56"/>
      <c r="C144" s="316"/>
      <c r="D144" s="97">
        <f>(C76*(1-'5.Closing Stock &amp; W Capital'!$D$15))*$C$144*D$124</f>
        <v>0</v>
      </c>
      <c r="E144" s="97">
        <f>((D76*(1-'5.Closing Stock &amp; W Capital'!$D$15))+(C76*'5.Closing Stock &amp; W Capital'!$D$15))*$C$144*E$124</f>
        <v>0</v>
      </c>
      <c r="F144" s="97">
        <f>((E76*(1-'5.Closing Stock &amp; W Capital'!$D$15))+(D76*'5.Closing Stock &amp; W Capital'!$D$15))*$C$144*F$124</f>
        <v>0</v>
      </c>
      <c r="G144" s="97">
        <f>((F76*(1-'5.Closing Stock &amp; W Capital'!$D$15))+(E76*'5.Closing Stock &amp; W Capital'!$D$15))*$C$144*G$124</f>
        <v>0</v>
      </c>
      <c r="H144" s="97">
        <f>((G76*(1-'5.Closing Stock &amp; W Capital'!$D$15))+(F76*'5.Closing Stock &amp; W Capital'!$D$15))*$C$144*H$124</f>
        <v>0</v>
      </c>
      <c r="I144" s="97">
        <f>((H76*(1-'5.Closing Stock &amp; W Capital'!$D$15))+(G76*'5.Closing Stock &amp; W Capital'!$D$15))*$C$144*I$124</f>
        <v>0</v>
      </c>
      <c r="J144" s="97">
        <f>((I76*(1-'5.Closing Stock &amp; W Capital'!$D$15))+(H76*'5.Closing Stock &amp; W Capital'!$D$15))*$C$144*J$124</f>
        <v>0</v>
      </c>
      <c r="K144" s="92"/>
      <c r="U144" s="92"/>
      <c r="V144" s="92"/>
      <c r="W144" s="92"/>
    </row>
    <row r="145" spans="1:23" ht="14.25" customHeight="1">
      <c r="A145" s="56">
        <f t="shared" si="54"/>
        <v>0</v>
      </c>
      <c r="B145" s="56"/>
      <c r="C145" s="316"/>
      <c r="D145" s="97">
        <f>(C77*(1-'5.Closing Stock &amp; W Capital'!$D$15))*$C$145*D$124</f>
        <v>0</v>
      </c>
      <c r="E145" s="97">
        <f>((D77*(1-'5.Closing Stock &amp; W Capital'!$D$15))+(C77*'5.Closing Stock &amp; W Capital'!$D$15))*$C$145*E$124</f>
        <v>0</v>
      </c>
      <c r="F145" s="97">
        <f>((E77*(1-'5.Closing Stock &amp; W Capital'!$D$15))+(D77*'5.Closing Stock &amp; W Capital'!$D$15))*$C$145*F$124</f>
        <v>0</v>
      </c>
      <c r="G145" s="97">
        <f>((F77*(1-'5.Closing Stock &amp; W Capital'!$D$15))+(E77*'5.Closing Stock &amp; W Capital'!$D$15))*$C$145*G$124</f>
        <v>0</v>
      </c>
      <c r="H145" s="97">
        <f>((G77*(1-'5.Closing Stock &amp; W Capital'!$D$15))+(F77*'5.Closing Stock &amp; W Capital'!$D$15))*$C$145*H$124</f>
        <v>0</v>
      </c>
      <c r="I145" s="97">
        <f>((H77*(1-'5.Closing Stock &amp; W Capital'!$D$15))+(G77*'5.Closing Stock &amp; W Capital'!$D$15))*$C$145*I$124</f>
        <v>0</v>
      </c>
      <c r="J145" s="97">
        <f>((I77*(1-'5.Closing Stock &amp; W Capital'!$D$15))+(H77*'5.Closing Stock &amp; W Capital'!$D$15))*$C$145*J$124</f>
        <v>0</v>
      </c>
      <c r="K145" s="92"/>
      <c r="U145" s="92"/>
      <c r="V145" s="92"/>
      <c r="W145" s="92"/>
    </row>
    <row r="146" spans="1:23" ht="14.25" customHeight="1">
      <c r="A146" s="56">
        <f t="shared" si="54"/>
        <v>0</v>
      </c>
      <c r="B146" s="56"/>
      <c r="C146" s="316"/>
      <c r="D146" s="97">
        <f>(C78*(1-'5.Closing Stock &amp; W Capital'!$D$15))*$C$146*D$124</f>
        <v>0</v>
      </c>
      <c r="E146" s="97">
        <f>((D78*(1-'5.Closing Stock &amp; W Capital'!$D$15))+(C78*'5.Closing Stock &amp; W Capital'!$D$15))*$C$146*E$124</f>
        <v>0</v>
      </c>
      <c r="F146" s="97">
        <f>((E78*(1-'5.Closing Stock &amp; W Capital'!$D$15))+(D78*'5.Closing Stock &amp; W Capital'!$D$15))*$C$146*F$124</f>
        <v>0</v>
      </c>
      <c r="G146" s="97">
        <f>((F78*(1-'5.Closing Stock &amp; W Capital'!$D$15))+(E78*'5.Closing Stock &amp; W Capital'!$D$15))*$C$146*G$124</f>
        <v>0</v>
      </c>
      <c r="H146" s="97">
        <f>((G78*(1-'5.Closing Stock &amp; W Capital'!$D$15))+(F78*'5.Closing Stock &amp; W Capital'!$D$15))*$C$146*H$124</f>
        <v>0</v>
      </c>
      <c r="I146" s="97">
        <f>((H78*(1-'5.Closing Stock &amp; W Capital'!$D$15))+(G78*'5.Closing Stock &amp; W Capital'!$D$15))*$C$146*I$124</f>
        <v>0</v>
      </c>
      <c r="J146" s="97">
        <f>((I78*(1-'5.Closing Stock &amp; W Capital'!$D$15))+(H78*'5.Closing Stock &amp; W Capital'!$D$15))*$C$146*J$124</f>
        <v>0</v>
      </c>
      <c r="K146" s="92"/>
      <c r="U146" s="92"/>
      <c r="V146" s="92"/>
      <c r="W146" s="92"/>
    </row>
    <row r="147" spans="1:23" ht="14.25" customHeight="1">
      <c r="A147" s="98" t="str">
        <f t="shared" si="54"/>
        <v>Summer</v>
      </c>
      <c r="B147" s="56"/>
      <c r="C147" s="316"/>
      <c r="D147" s="97"/>
      <c r="E147" s="97"/>
      <c r="F147" s="97"/>
      <c r="G147" s="97"/>
      <c r="H147" s="97"/>
      <c r="I147" s="97"/>
      <c r="J147" s="97"/>
      <c r="K147" s="92"/>
      <c r="U147" s="92"/>
      <c r="V147" s="92"/>
      <c r="W147" s="92"/>
    </row>
    <row r="148" spans="1:23" ht="14.25" customHeight="1">
      <c r="A148" s="56" t="str">
        <f t="shared" si="54"/>
        <v>Groundnut</v>
      </c>
      <c r="B148" s="56"/>
      <c r="C148" s="316"/>
      <c r="D148" s="97">
        <f>(C80*(1-'5.Closing Stock &amp; W Capital'!$D$15))*$C$148*D$124</f>
        <v>0</v>
      </c>
      <c r="E148" s="97">
        <f>((D80*(1-'5.Closing Stock &amp; W Capital'!$D$15))+(C80*'5.Closing Stock &amp; W Capital'!$D$15))*$C$148*E$124</f>
        <v>0</v>
      </c>
      <c r="F148" s="97">
        <f>((E80*(1-'5.Closing Stock &amp; W Capital'!$D$15))+(D80*'5.Closing Stock &amp; W Capital'!$D$15))*$C$148*F$124</f>
        <v>0</v>
      </c>
      <c r="G148" s="97">
        <f>((F80*(1-'5.Closing Stock &amp; W Capital'!$D$15))+(E80*'5.Closing Stock &amp; W Capital'!$D$15))*$C$148*G$124</f>
        <v>0</v>
      </c>
      <c r="H148" s="97">
        <f>((G80*(1-'5.Closing Stock &amp; W Capital'!$D$15))+(F80*'5.Closing Stock &amp; W Capital'!$D$15))*$C$148*H$124</f>
        <v>0</v>
      </c>
      <c r="I148" s="97">
        <f>((H80*(1-'5.Closing Stock &amp; W Capital'!$D$15))+(G80*'5.Closing Stock &amp; W Capital'!$D$15))*$C$148*I$124</f>
        <v>0</v>
      </c>
      <c r="J148" s="97">
        <f>((I80*(1-'5.Closing Stock &amp; W Capital'!$D$15))+(H80*'5.Closing Stock &amp; W Capital'!$D$15))*$C$148*J$124</f>
        <v>0</v>
      </c>
      <c r="K148" s="92"/>
      <c r="U148" s="92"/>
      <c r="V148" s="92"/>
      <c r="W148" s="92"/>
    </row>
    <row r="149" spans="1:23" ht="14.25" customHeight="1">
      <c r="A149" s="56">
        <f t="shared" si="54"/>
        <v>0</v>
      </c>
      <c r="B149" s="56"/>
      <c r="C149" s="316"/>
      <c r="D149" s="97">
        <f>(C81*(1-'5.Closing Stock &amp; W Capital'!$D$15))*$C$149*D$124</f>
        <v>0</v>
      </c>
      <c r="E149" s="97">
        <f>((D81*(1-'5.Closing Stock &amp; W Capital'!$D$15))+(C81*'5.Closing Stock &amp; W Capital'!$D$15))*$C$149*E$124</f>
        <v>0</v>
      </c>
      <c r="F149" s="97">
        <f>((E81*(1-'5.Closing Stock &amp; W Capital'!$D$15))+(D81*'5.Closing Stock &amp; W Capital'!$D$15))*$C$149*F$124</f>
        <v>0</v>
      </c>
      <c r="G149" s="97">
        <f>((F81*(1-'5.Closing Stock &amp; W Capital'!$D$15))+(E81*'5.Closing Stock &amp; W Capital'!$D$15))*$C$149*G$124</f>
        <v>0</v>
      </c>
      <c r="H149" s="97">
        <f>((G81*(1-'5.Closing Stock &amp; W Capital'!$D$15))+(F81*'5.Closing Stock &amp; W Capital'!$D$15))*$C$149*H$124</f>
        <v>0</v>
      </c>
      <c r="I149" s="97">
        <f>((H81*(1-'5.Closing Stock &amp; W Capital'!$D$15))+(G81*'5.Closing Stock &amp; W Capital'!$D$15))*$C$149*I$124</f>
        <v>0</v>
      </c>
      <c r="J149" s="97">
        <f>((I81*(1-'5.Closing Stock &amp; W Capital'!$D$15))+(H81*'5.Closing Stock &amp; W Capital'!$D$15))*$C$149*J$124</f>
        <v>0</v>
      </c>
      <c r="K149" s="92"/>
      <c r="U149" s="92"/>
      <c r="V149" s="92"/>
      <c r="W149" s="92"/>
    </row>
    <row r="150" spans="1:23" ht="14.25" customHeight="1">
      <c r="A150" s="56">
        <f t="shared" si="54"/>
        <v>0</v>
      </c>
      <c r="B150" s="56"/>
      <c r="C150" s="316"/>
      <c r="D150" s="97">
        <f>(C82*(1-'5.Closing Stock &amp; W Capital'!$D$15))*$C$150*D$124</f>
        <v>0</v>
      </c>
      <c r="E150" s="97">
        <f>((D82*(1-'5.Closing Stock &amp; W Capital'!$D$15))+(C82*'5.Closing Stock &amp; W Capital'!$D$15))*$C$150*E$124</f>
        <v>0</v>
      </c>
      <c r="F150" s="97">
        <f>((E82*(1-'5.Closing Stock &amp; W Capital'!$D$15))+(D82*'5.Closing Stock &amp; W Capital'!$D$15))*$C$150*F$124</f>
        <v>0</v>
      </c>
      <c r="G150" s="97">
        <f>((F82*(1-'5.Closing Stock &amp; W Capital'!$D$15))+(E82*'5.Closing Stock &amp; W Capital'!$D$15))*$C$150*G$124</f>
        <v>0</v>
      </c>
      <c r="H150" s="97">
        <f>((G82*(1-'5.Closing Stock &amp; W Capital'!$D$15))+(F82*'5.Closing Stock &amp; W Capital'!$D$15))*$C$150*H$124</f>
        <v>0</v>
      </c>
      <c r="I150" s="97">
        <f>((H82*(1-'5.Closing Stock &amp; W Capital'!$D$15))+(G82*'5.Closing Stock &amp; W Capital'!$D$15))*$C$150*I$124</f>
        <v>0</v>
      </c>
      <c r="J150" s="97">
        <f>((I82*(1-'5.Closing Stock &amp; W Capital'!$D$15))+(H82*'5.Closing Stock &amp; W Capital'!$D$15))*$C$150*J$124</f>
        <v>0</v>
      </c>
      <c r="K150" s="92"/>
      <c r="U150" s="92"/>
      <c r="V150" s="92"/>
      <c r="W150" s="92"/>
    </row>
    <row r="151" spans="1:23" ht="14.25" customHeight="1">
      <c r="A151" s="56">
        <f t="shared" si="54"/>
        <v>0</v>
      </c>
      <c r="B151" s="56"/>
      <c r="C151" s="316"/>
      <c r="D151" s="97">
        <f>(C83*(1-'5.Closing Stock &amp; W Capital'!$D$15))*$C$151*D$124</f>
        <v>0</v>
      </c>
      <c r="E151" s="97">
        <f>((D83*(1-'5.Closing Stock &amp; W Capital'!$D$15))+(C83*'5.Closing Stock &amp; W Capital'!$D$15))*$C$151*E$124</f>
        <v>0</v>
      </c>
      <c r="F151" s="97">
        <f>((E83*(1-'5.Closing Stock &amp; W Capital'!$D$15))+(D83*'5.Closing Stock &amp; W Capital'!$D$15))*$C$151*F$124</f>
        <v>0</v>
      </c>
      <c r="G151" s="97">
        <f>((F83*(1-'5.Closing Stock &amp; W Capital'!$D$15))+(E83*'5.Closing Stock &amp; W Capital'!$D$15))*$C$151*G$124</f>
        <v>0</v>
      </c>
      <c r="H151" s="97">
        <f>((G83*(1-'5.Closing Stock &amp; W Capital'!$D$15))+(F83*'5.Closing Stock &amp; W Capital'!$D$15))*$C$151*H$124</f>
        <v>0</v>
      </c>
      <c r="I151" s="97">
        <f>((H83*(1-'5.Closing Stock &amp; W Capital'!$D$15))+(G83*'5.Closing Stock &amp; W Capital'!$D$15))*$C$151*I$124</f>
        <v>0</v>
      </c>
      <c r="J151" s="97">
        <f>((I83*(1-'5.Closing Stock &amp; W Capital'!$D$15))+(H83*'5.Closing Stock &amp; W Capital'!$D$15))*$C$151*J$124</f>
        <v>0</v>
      </c>
      <c r="K151" s="92"/>
      <c r="U151" s="92"/>
      <c r="V151" s="92"/>
      <c r="W151" s="92"/>
    </row>
    <row r="152" spans="1:23" ht="14.25" customHeight="1">
      <c r="A152" s="56">
        <f t="shared" si="54"/>
        <v>0</v>
      </c>
      <c r="B152" s="56"/>
      <c r="C152" s="316"/>
      <c r="D152" s="97">
        <f>(C84*(1-'5.Closing Stock &amp; W Capital'!$D$15))*$C$152*D$124</f>
        <v>0</v>
      </c>
      <c r="E152" s="97">
        <f>((D84*(1-'5.Closing Stock &amp; W Capital'!$D$15))+(C84*'5.Closing Stock &amp; W Capital'!$D$15))*$C$152*E$124</f>
        <v>0</v>
      </c>
      <c r="F152" s="97">
        <f>((E84*(1-'5.Closing Stock &amp; W Capital'!$D$15))+(D84*'5.Closing Stock &amp; W Capital'!$D$15))*$C$152*F$124</f>
        <v>0</v>
      </c>
      <c r="G152" s="97">
        <f>((F84*(1-'5.Closing Stock &amp; W Capital'!$D$15))+(E84*'5.Closing Stock &amp; W Capital'!$D$15))*$C$152*G$124</f>
        <v>0</v>
      </c>
      <c r="H152" s="97">
        <f>((G84*(1-'5.Closing Stock &amp; W Capital'!$D$15))+(F84*'5.Closing Stock &amp; W Capital'!$D$15))*$C$152*H$124</f>
        <v>0</v>
      </c>
      <c r="I152" s="97">
        <f>((H84*(1-'5.Closing Stock &amp; W Capital'!$D$15))+(G84*'5.Closing Stock &amp; W Capital'!$D$15))*$C$152*I$124</f>
        <v>0</v>
      </c>
      <c r="J152" s="97">
        <f>((I84*(1-'5.Closing Stock &amp; W Capital'!$D$15))+(H84*'5.Closing Stock &amp; W Capital'!$D$15))*$C$152*J$124</f>
        <v>0</v>
      </c>
      <c r="K152" s="92"/>
      <c r="U152" s="92"/>
      <c r="V152" s="92"/>
      <c r="W152" s="92"/>
    </row>
    <row r="153" spans="1:23" ht="14.25" customHeight="1">
      <c r="A153" s="56" t="str">
        <f t="shared" si="54"/>
        <v>Fruit  &amp; Vegetables Crop Production Details</v>
      </c>
      <c r="B153" s="56"/>
      <c r="C153" s="316"/>
      <c r="D153" s="97"/>
      <c r="E153" s="97"/>
      <c r="F153" s="97"/>
      <c r="G153" s="97"/>
      <c r="H153" s="97"/>
      <c r="I153" s="97"/>
      <c r="J153" s="97"/>
      <c r="K153" s="92"/>
      <c r="U153" s="92"/>
      <c r="V153" s="92"/>
      <c r="W153" s="92"/>
    </row>
    <row r="154" spans="1:23" ht="14.25" customHeight="1">
      <c r="A154" s="56" t="str">
        <f t="shared" si="54"/>
        <v>Onion</v>
      </c>
      <c r="B154" s="56"/>
      <c r="C154" s="316"/>
      <c r="D154" s="97">
        <f>(C86*(1-'5.Closing Stock &amp; W Capital'!$D$15))*$C154*D$124</f>
        <v>0</v>
      </c>
      <c r="E154" s="97">
        <f>((D86*(1-'5.Closing Stock &amp; W Capital'!$D$15))+(C86*'5.Closing Stock &amp; W Capital'!$D$15))*$C154*E$124</f>
        <v>0</v>
      </c>
      <c r="F154" s="97">
        <f>((E86*(1-'5.Closing Stock &amp; W Capital'!$D$15))+(D86*'5.Closing Stock &amp; W Capital'!$D$15))*$C154*F$124</f>
        <v>0</v>
      </c>
      <c r="G154" s="97">
        <f>((F86*(1-'5.Closing Stock &amp; W Capital'!$D$15))+(E86*'5.Closing Stock &amp; W Capital'!$D$15))*$C154*G$124</f>
        <v>0</v>
      </c>
      <c r="H154" s="97">
        <f>((G86*(1-'5.Closing Stock &amp; W Capital'!$D$15))+(F86*'5.Closing Stock &amp; W Capital'!$D$15))*$C154*H$124</f>
        <v>0</v>
      </c>
      <c r="I154" s="97">
        <f>((H86*(1-'5.Closing Stock &amp; W Capital'!$D$15))+(G86*'5.Closing Stock &amp; W Capital'!$D$15))*$C154*I$124</f>
        <v>0</v>
      </c>
      <c r="J154" s="97">
        <f>((I86*(1-'5.Closing Stock &amp; W Capital'!$D$15))+(H86*'5.Closing Stock &amp; W Capital'!$D$15))*$C154*J$124</f>
        <v>0</v>
      </c>
      <c r="K154" s="92"/>
      <c r="U154" s="92"/>
      <c r="V154" s="92"/>
      <c r="W154" s="92"/>
    </row>
    <row r="155" spans="1:23" ht="14.25" customHeight="1">
      <c r="A155" s="56" t="str">
        <f t="shared" si="54"/>
        <v>Tomato</v>
      </c>
      <c r="B155" s="56"/>
      <c r="C155" s="316"/>
      <c r="D155" s="97">
        <f>(C87*(1-'5.Closing Stock &amp; W Capital'!$D$15))*$C155*D$124</f>
        <v>0</v>
      </c>
      <c r="E155" s="97">
        <f>((D87*(1-'5.Closing Stock &amp; W Capital'!$D$15))+(C87*'5.Closing Stock &amp; W Capital'!$D$15))*$C155*E$124</f>
        <v>0</v>
      </c>
      <c r="F155" s="97">
        <f>((E87*(1-'5.Closing Stock &amp; W Capital'!$D$15))+(D87*'5.Closing Stock &amp; W Capital'!$D$15))*$C155*F$124</f>
        <v>0</v>
      </c>
      <c r="G155" s="97">
        <f>((F87*(1-'5.Closing Stock &amp; W Capital'!$D$15))+(E87*'5.Closing Stock &amp; W Capital'!$D$15))*$C155*G$124</f>
        <v>0</v>
      </c>
      <c r="H155" s="97">
        <f>((G87*(1-'5.Closing Stock &amp; W Capital'!$D$15))+(F87*'5.Closing Stock &amp; W Capital'!$D$15))*$C155*H$124</f>
        <v>0</v>
      </c>
      <c r="I155" s="97">
        <f>((H87*(1-'5.Closing Stock &amp; W Capital'!$D$15))+(G87*'5.Closing Stock &amp; W Capital'!$D$15))*$C155*I$124</f>
        <v>0</v>
      </c>
      <c r="J155" s="97">
        <f>((I87*(1-'5.Closing Stock &amp; W Capital'!$D$15))+(H87*'5.Closing Stock &amp; W Capital'!$D$15))*$C155*J$124</f>
        <v>0</v>
      </c>
      <c r="K155" s="92"/>
      <c r="U155" s="92"/>
      <c r="V155" s="92"/>
      <c r="W155" s="92"/>
    </row>
    <row r="156" spans="1:23" ht="14.25" customHeight="1">
      <c r="A156" s="56" t="str">
        <f t="shared" si="54"/>
        <v>Okra</v>
      </c>
      <c r="B156" s="56"/>
      <c r="C156" s="316"/>
      <c r="D156" s="97">
        <f>(C88*(1-'5.Closing Stock &amp; W Capital'!$D$15))*$C156*D$124</f>
        <v>0</v>
      </c>
      <c r="E156" s="97">
        <f>((D88*(1-'5.Closing Stock &amp; W Capital'!$D$15))+(C88*'5.Closing Stock &amp; W Capital'!$D$15))*$C156*E$124</f>
        <v>0</v>
      </c>
      <c r="F156" s="97">
        <f>((E88*(1-'5.Closing Stock &amp; W Capital'!$D$15))+(D88*'5.Closing Stock &amp; W Capital'!$D$15))*$C156*F$124</f>
        <v>0</v>
      </c>
      <c r="G156" s="97">
        <f>((F88*(1-'5.Closing Stock &amp; W Capital'!$D$15))+(E88*'5.Closing Stock &amp; W Capital'!$D$15))*$C156*G$124</f>
        <v>0</v>
      </c>
      <c r="H156" s="97">
        <f>((G88*(1-'5.Closing Stock &amp; W Capital'!$D$15))+(F88*'5.Closing Stock &amp; W Capital'!$D$15))*$C156*H$124</f>
        <v>0</v>
      </c>
      <c r="I156" s="97">
        <f>((H88*(1-'5.Closing Stock &amp; W Capital'!$D$15))+(G88*'5.Closing Stock &amp; W Capital'!$D$15))*$C156*I$124</f>
        <v>0</v>
      </c>
      <c r="J156" s="97">
        <f>((I88*(1-'5.Closing Stock &amp; W Capital'!$D$15))+(H88*'5.Closing Stock &amp; W Capital'!$D$15))*$C156*J$124</f>
        <v>0</v>
      </c>
      <c r="K156" s="92"/>
      <c r="U156" s="92"/>
      <c r="V156" s="92"/>
      <c r="W156" s="92"/>
    </row>
    <row r="157" spans="1:23" ht="14.25" customHeight="1">
      <c r="A157" s="56" t="str">
        <f t="shared" si="54"/>
        <v>Chilli</v>
      </c>
      <c r="B157" s="56"/>
      <c r="C157" s="316"/>
      <c r="D157" s="97">
        <f>(C89*(1-'5.Closing Stock &amp; W Capital'!$D$15))*$C157*D$124</f>
        <v>0</v>
      </c>
      <c r="E157" s="97">
        <f>((D89*(1-'5.Closing Stock &amp; W Capital'!$D$15))+(C89*'5.Closing Stock &amp; W Capital'!$D$15))*$C157*E$124</f>
        <v>0</v>
      </c>
      <c r="F157" s="97">
        <f>((E89*(1-'5.Closing Stock &amp; W Capital'!$D$15))+(D89*'5.Closing Stock &amp; W Capital'!$D$15))*$C157*F$124</f>
        <v>0</v>
      </c>
      <c r="G157" s="97">
        <f>((F89*(1-'5.Closing Stock &amp; W Capital'!$D$15))+(E89*'5.Closing Stock &amp; W Capital'!$D$15))*$C157*G$124</f>
        <v>0</v>
      </c>
      <c r="H157" s="97">
        <f>((G89*(1-'5.Closing Stock &amp; W Capital'!$D$15))+(F89*'5.Closing Stock &amp; W Capital'!$D$15))*$C157*H$124</f>
        <v>0</v>
      </c>
      <c r="I157" s="97">
        <f>((H89*(1-'5.Closing Stock &amp; W Capital'!$D$15))+(G89*'5.Closing Stock &amp; W Capital'!$D$15))*$C157*I$124</f>
        <v>0</v>
      </c>
      <c r="J157" s="97">
        <f>((I89*(1-'5.Closing Stock &amp; W Capital'!$D$15))+(H89*'5.Closing Stock &amp; W Capital'!$D$15))*$C157*J$124</f>
        <v>0</v>
      </c>
      <c r="K157" s="92"/>
      <c r="U157" s="92"/>
      <c r="V157" s="92"/>
      <c r="W157" s="92"/>
    </row>
    <row r="158" spans="1:23" ht="14.25" customHeight="1">
      <c r="A158" s="56" t="str">
        <f t="shared" si="54"/>
        <v>Potato</v>
      </c>
      <c r="B158" s="56"/>
      <c r="C158" s="316"/>
      <c r="D158" s="97">
        <f>(C90*(1-'5.Closing Stock &amp; W Capital'!$D$15))*$C158*D$124</f>
        <v>0</v>
      </c>
      <c r="E158" s="97">
        <f>((D90*(1-'5.Closing Stock &amp; W Capital'!$D$15))+(C90*'5.Closing Stock &amp; W Capital'!$D$15))*$C158*E$124</f>
        <v>0</v>
      </c>
      <c r="F158" s="97">
        <f>((E90*(1-'5.Closing Stock &amp; W Capital'!$D$15))+(D90*'5.Closing Stock &amp; W Capital'!$D$15))*$C158*F$124</f>
        <v>0</v>
      </c>
      <c r="G158" s="97">
        <f>((F90*(1-'5.Closing Stock &amp; W Capital'!$D$15))+(E90*'5.Closing Stock &amp; W Capital'!$D$15))*$C158*G$124</f>
        <v>0</v>
      </c>
      <c r="H158" s="97">
        <f>((G90*(1-'5.Closing Stock &amp; W Capital'!$D$15))+(F90*'5.Closing Stock &amp; W Capital'!$D$15))*$C158*H$124</f>
        <v>0</v>
      </c>
      <c r="I158" s="97">
        <f>((H90*(1-'5.Closing Stock &amp; W Capital'!$D$15))+(G90*'5.Closing Stock &amp; W Capital'!$D$15))*$C158*I$124</f>
        <v>0</v>
      </c>
      <c r="J158" s="97">
        <f>((I90*(1-'5.Closing Stock &amp; W Capital'!$D$15))+(H90*'5.Closing Stock &amp; W Capital'!$D$15))*$C158*J$124</f>
        <v>0</v>
      </c>
      <c r="K158" s="92"/>
      <c r="U158" s="92"/>
      <c r="V158" s="92"/>
      <c r="W158" s="92"/>
    </row>
    <row r="159" spans="1:23" ht="14.25" customHeight="1">
      <c r="A159" s="56">
        <f t="shared" si="54"/>
        <v>0</v>
      </c>
      <c r="B159" s="56"/>
      <c r="C159" s="316"/>
      <c r="D159" s="97">
        <f>(C91*(1-'5.Closing Stock &amp; W Capital'!$D$15))*$C159*D$124</f>
        <v>0</v>
      </c>
      <c r="E159" s="97">
        <f>((D91*(1-'5.Closing Stock &amp; W Capital'!$D$15))+(C91*'5.Closing Stock &amp; W Capital'!$D$15))*$C159*E$124</f>
        <v>0</v>
      </c>
      <c r="F159" s="97">
        <f>((E91*(1-'5.Closing Stock &amp; W Capital'!$D$15))+(D91*'5.Closing Stock &amp; W Capital'!$D$15))*$C159*F$124</f>
        <v>0</v>
      </c>
      <c r="G159" s="97">
        <f>((F91*(1-'5.Closing Stock &amp; W Capital'!$D$15))+(E91*'5.Closing Stock &amp; W Capital'!$D$15))*$C159*G$124</f>
        <v>0</v>
      </c>
      <c r="H159" s="97">
        <f>((G91*(1-'5.Closing Stock &amp; W Capital'!$D$15))+(F91*'5.Closing Stock &amp; W Capital'!$D$15))*$C159*H$124</f>
        <v>0</v>
      </c>
      <c r="I159" s="97">
        <f>((H91*(1-'5.Closing Stock &amp; W Capital'!$D$15))+(G91*'5.Closing Stock &amp; W Capital'!$D$15))*$C159*I$124</f>
        <v>0</v>
      </c>
      <c r="J159" s="97">
        <f>((I91*(1-'5.Closing Stock &amp; W Capital'!$D$15))+(H91*'5.Closing Stock &amp; W Capital'!$D$15))*$C159*J$124</f>
        <v>0</v>
      </c>
      <c r="K159" s="92"/>
      <c r="U159" s="92"/>
      <c r="V159" s="92"/>
      <c r="W159" s="92"/>
    </row>
    <row r="160" spans="1:23" ht="14.25" customHeight="1">
      <c r="A160" s="56">
        <f t="shared" si="54"/>
        <v>0</v>
      </c>
      <c r="B160" s="56"/>
      <c r="C160" s="316"/>
      <c r="D160" s="97">
        <f>(C92*(1-'5.Closing Stock &amp; W Capital'!$D$15))*$C160*D$124</f>
        <v>0</v>
      </c>
      <c r="E160" s="97">
        <f>((D92*(1-'5.Closing Stock &amp; W Capital'!$D$15))+(C92*'5.Closing Stock &amp; W Capital'!$D$15))*$C160*E$124</f>
        <v>0</v>
      </c>
      <c r="F160" s="97">
        <f>((E92*(1-'5.Closing Stock &amp; W Capital'!$D$15))+(D92*'5.Closing Stock &amp; W Capital'!$D$15))*$C160*F$124</f>
        <v>0</v>
      </c>
      <c r="G160" s="97">
        <f>((F92*(1-'5.Closing Stock &amp; W Capital'!$D$15))+(E92*'5.Closing Stock &amp; W Capital'!$D$15))*$C160*G$124</f>
        <v>0</v>
      </c>
      <c r="H160" s="97">
        <f>((G92*(1-'5.Closing Stock &amp; W Capital'!$D$15))+(F92*'5.Closing Stock &amp; W Capital'!$D$15))*$C160*H$124</f>
        <v>0</v>
      </c>
      <c r="I160" s="97">
        <f>((H92*(1-'5.Closing Stock &amp; W Capital'!$D$15))+(G92*'5.Closing Stock &amp; W Capital'!$D$15))*$C160*I$124</f>
        <v>0</v>
      </c>
      <c r="J160" s="97">
        <f>((I92*(1-'5.Closing Stock &amp; W Capital'!$D$15))+(H92*'5.Closing Stock &amp; W Capital'!$D$15))*$C160*J$124</f>
        <v>0</v>
      </c>
      <c r="K160" s="92"/>
      <c r="U160" s="92"/>
      <c r="V160" s="92"/>
      <c r="W160" s="92"/>
    </row>
    <row r="161" spans="1:23" ht="14.25" customHeight="1">
      <c r="A161" s="56">
        <f t="shared" si="54"/>
        <v>0</v>
      </c>
      <c r="B161" s="56"/>
      <c r="C161" s="316"/>
      <c r="D161" s="97">
        <f>(C93*(1-'5.Closing Stock &amp; W Capital'!$D$15))*$C161*D$124</f>
        <v>0</v>
      </c>
      <c r="E161" s="97">
        <f>((D93*(1-'5.Closing Stock &amp; W Capital'!$D$15))+(C93*'5.Closing Stock &amp; W Capital'!$D$15))*$C161*E$124</f>
        <v>0</v>
      </c>
      <c r="F161" s="97">
        <f>((E93*(1-'5.Closing Stock &amp; W Capital'!$D$15))+(D93*'5.Closing Stock &amp; W Capital'!$D$15))*$C161*F$124</f>
        <v>0</v>
      </c>
      <c r="G161" s="97">
        <f>((F93*(1-'5.Closing Stock &amp; W Capital'!$D$15))+(E93*'5.Closing Stock &amp; W Capital'!$D$15))*$C161*G$124</f>
        <v>0</v>
      </c>
      <c r="H161" s="97">
        <f>((G93*(1-'5.Closing Stock &amp; W Capital'!$D$15))+(F93*'5.Closing Stock &amp; W Capital'!$D$15))*$C161*H$124</f>
        <v>0</v>
      </c>
      <c r="I161" s="97">
        <f>((H93*(1-'5.Closing Stock &amp; W Capital'!$D$15))+(G93*'5.Closing Stock &amp; W Capital'!$D$15))*$C161*I$124</f>
        <v>0</v>
      </c>
      <c r="J161" s="97">
        <f>((I93*(1-'5.Closing Stock &amp; W Capital'!$D$15))+(H93*'5.Closing Stock &amp; W Capital'!$D$15))*$C161*J$124</f>
        <v>0</v>
      </c>
      <c r="K161" s="92"/>
      <c r="U161" s="92"/>
      <c r="V161" s="92"/>
      <c r="W161" s="92"/>
    </row>
    <row r="162" spans="1:23" ht="14.25" customHeight="1">
      <c r="A162" s="56">
        <f t="shared" si="54"/>
        <v>0</v>
      </c>
      <c r="B162" s="56"/>
      <c r="C162" s="316"/>
      <c r="D162" s="97">
        <f>(C94*(1-'5.Closing Stock &amp; W Capital'!$D$15))*$C162*D$124</f>
        <v>0</v>
      </c>
      <c r="E162" s="97">
        <f>((D94*(1-'5.Closing Stock &amp; W Capital'!$D$15))+(C94*'5.Closing Stock &amp; W Capital'!$D$15))*$C162*E$124</f>
        <v>0</v>
      </c>
      <c r="F162" s="97">
        <f>((E94*(1-'5.Closing Stock &amp; W Capital'!$D$15))+(D94*'5.Closing Stock &amp; W Capital'!$D$15))*$C162*F$124</f>
        <v>0</v>
      </c>
      <c r="G162" s="97">
        <f>((F94*(1-'5.Closing Stock &amp; W Capital'!$D$15))+(E94*'5.Closing Stock &amp; W Capital'!$D$15))*$C162*G$124</f>
        <v>0</v>
      </c>
      <c r="H162" s="97">
        <f>((G94*(1-'5.Closing Stock &amp; W Capital'!$D$15))+(F94*'5.Closing Stock &amp; W Capital'!$D$15))*$C162*H$124</f>
        <v>0</v>
      </c>
      <c r="I162" s="97">
        <f>((H94*(1-'5.Closing Stock &amp; W Capital'!$D$15))+(G94*'5.Closing Stock &amp; W Capital'!$D$15))*$C162*I$124</f>
        <v>0</v>
      </c>
      <c r="J162" s="97">
        <f>((I94*(1-'5.Closing Stock &amp; W Capital'!$D$15))+(H94*'5.Closing Stock &amp; W Capital'!$D$15))*$C162*J$124</f>
        <v>0</v>
      </c>
      <c r="K162" s="92"/>
      <c r="U162" s="92"/>
      <c r="V162" s="92"/>
      <c r="W162" s="92"/>
    </row>
    <row r="163" spans="1:23" ht="14.25" customHeight="1">
      <c r="A163" s="56" t="str">
        <f t="shared" si="54"/>
        <v>Onion</v>
      </c>
      <c r="B163" s="56"/>
      <c r="C163" s="316"/>
      <c r="D163" s="97">
        <f>(C95*(1-'5.Closing Stock &amp; W Capital'!$D$15))*$C163*D$124</f>
        <v>0</v>
      </c>
      <c r="E163" s="97">
        <f>((D95*(1-'5.Closing Stock &amp; W Capital'!$D$15))+(C95*'5.Closing Stock &amp; W Capital'!$D$15))*$C163*E$124</f>
        <v>0</v>
      </c>
      <c r="F163" s="97">
        <f>((E95*(1-'5.Closing Stock &amp; W Capital'!$D$15))+(D95*'5.Closing Stock &amp; W Capital'!$D$15))*$C163*F$124</f>
        <v>0</v>
      </c>
      <c r="G163" s="97">
        <f>((F95*(1-'5.Closing Stock &amp; W Capital'!$D$15))+(E95*'5.Closing Stock &amp; W Capital'!$D$15))*$C163*G$124</f>
        <v>0</v>
      </c>
      <c r="H163" s="97">
        <f>((G95*(1-'5.Closing Stock &amp; W Capital'!$D$15))+(F95*'5.Closing Stock &amp; W Capital'!$D$15))*$C163*H$124</f>
        <v>0</v>
      </c>
      <c r="I163" s="97">
        <f>((H95*(1-'5.Closing Stock &amp; W Capital'!$D$15))+(G95*'5.Closing Stock &amp; W Capital'!$D$15))*$C163*I$124</f>
        <v>0</v>
      </c>
      <c r="J163" s="97">
        <f>((I95*(1-'5.Closing Stock &amp; W Capital'!$D$15))+(H95*'5.Closing Stock &amp; W Capital'!$D$15))*$C163*J$124</f>
        <v>0</v>
      </c>
      <c r="K163" s="92"/>
      <c r="U163" s="92"/>
      <c r="V163" s="92"/>
      <c r="W163" s="92"/>
    </row>
    <row r="164" spans="1:23" ht="14.25" customHeight="1">
      <c r="A164" s="56" t="str">
        <f t="shared" si="54"/>
        <v>Tomato</v>
      </c>
      <c r="B164" s="56"/>
      <c r="C164" s="316"/>
      <c r="D164" s="97">
        <f>(C96*(1-'5.Closing Stock &amp; W Capital'!$D$15))*$C164*D$124</f>
        <v>0</v>
      </c>
      <c r="E164" s="97">
        <f>((D96*(1-'5.Closing Stock &amp; W Capital'!$D$15))+(C96*'5.Closing Stock &amp; W Capital'!$D$15))*$C164*E$124</f>
        <v>0</v>
      </c>
      <c r="F164" s="97">
        <f>((E96*(1-'5.Closing Stock &amp; W Capital'!$D$15))+(D96*'5.Closing Stock &amp; W Capital'!$D$15))*$C164*F$124</f>
        <v>0</v>
      </c>
      <c r="G164" s="97">
        <f>((F96*(1-'5.Closing Stock &amp; W Capital'!$D$15))+(E96*'5.Closing Stock &amp; W Capital'!$D$15))*$C164*G$124</f>
        <v>0</v>
      </c>
      <c r="H164" s="97">
        <f>((G96*(1-'5.Closing Stock &amp; W Capital'!$D$15))+(F96*'5.Closing Stock &amp; W Capital'!$D$15))*$C164*H$124</f>
        <v>0</v>
      </c>
      <c r="I164" s="97">
        <f>((H96*(1-'5.Closing Stock &amp; W Capital'!$D$15))+(G96*'5.Closing Stock &amp; W Capital'!$D$15))*$C164*I$124</f>
        <v>0</v>
      </c>
      <c r="J164" s="97">
        <f>((I96*(1-'5.Closing Stock &amp; W Capital'!$D$15))+(H96*'5.Closing Stock &amp; W Capital'!$D$15))*$C164*J$124</f>
        <v>0</v>
      </c>
      <c r="K164" s="92"/>
      <c r="U164" s="92"/>
      <c r="V164" s="92"/>
      <c r="W164" s="92"/>
    </row>
    <row r="165" spans="1:23" ht="14.25" customHeight="1">
      <c r="A165" s="56" t="str">
        <f t="shared" si="54"/>
        <v>Okra</v>
      </c>
      <c r="B165" s="56"/>
      <c r="C165" s="316"/>
      <c r="D165" s="97">
        <f>(C97*(1-'5.Closing Stock &amp; W Capital'!$D$15))*$C165*D$124</f>
        <v>0</v>
      </c>
      <c r="E165" s="97">
        <f>((D97*(1-'5.Closing Stock &amp; W Capital'!$D$15))+(C97*'5.Closing Stock &amp; W Capital'!$D$15))*$C165*E$124</f>
        <v>0</v>
      </c>
      <c r="F165" s="97">
        <f>((E97*(1-'5.Closing Stock &amp; W Capital'!$D$15))+(D97*'5.Closing Stock &amp; W Capital'!$D$15))*$C165*F$124</f>
        <v>0</v>
      </c>
      <c r="G165" s="97">
        <f>((F97*(1-'5.Closing Stock &amp; W Capital'!$D$15))+(E97*'5.Closing Stock &amp; W Capital'!$D$15))*$C165*G$124</f>
        <v>0</v>
      </c>
      <c r="H165" s="97">
        <f>((G97*(1-'5.Closing Stock &amp; W Capital'!$D$15))+(F97*'5.Closing Stock &amp; W Capital'!$D$15))*$C165*H$124</f>
        <v>0</v>
      </c>
      <c r="I165" s="97">
        <f>((H97*(1-'5.Closing Stock &amp; W Capital'!$D$15))+(G97*'5.Closing Stock &amp; W Capital'!$D$15))*$C165*I$124</f>
        <v>0</v>
      </c>
      <c r="J165" s="97">
        <f>((I97*(1-'5.Closing Stock &amp; W Capital'!$D$15))+(H97*'5.Closing Stock &amp; W Capital'!$D$15))*$C165*J$124</f>
        <v>0</v>
      </c>
      <c r="K165" s="92"/>
      <c r="U165" s="92"/>
      <c r="V165" s="92"/>
      <c r="W165" s="92"/>
    </row>
    <row r="166" spans="1:23" ht="14.25" customHeight="1">
      <c r="A166" s="56" t="str">
        <f t="shared" si="54"/>
        <v>Chilli</v>
      </c>
      <c r="B166" s="56"/>
      <c r="C166" s="316"/>
      <c r="D166" s="97">
        <f>(C98*(1-'5.Closing Stock &amp; W Capital'!$D$15))*$C166*D$124</f>
        <v>0</v>
      </c>
      <c r="E166" s="97">
        <f>((D98*(1-'5.Closing Stock &amp; W Capital'!$D$15))+(C98*'5.Closing Stock &amp; W Capital'!$D$15))*$C166*E$124</f>
        <v>0</v>
      </c>
      <c r="F166" s="97">
        <f>((E98*(1-'5.Closing Stock &amp; W Capital'!$D$15))+(D98*'5.Closing Stock &amp; W Capital'!$D$15))*$C166*F$124</f>
        <v>0</v>
      </c>
      <c r="G166" s="97">
        <f>((F98*(1-'5.Closing Stock &amp; W Capital'!$D$15))+(E98*'5.Closing Stock &amp; W Capital'!$D$15))*$C166*G$124</f>
        <v>0</v>
      </c>
      <c r="H166" s="97">
        <f>((G98*(1-'5.Closing Stock &amp; W Capital'!$D$15))+(F98*'5.Closing Stock &amp; W Capital'!$D$15))*$C166*H$124</f>
        <v>0</v>
      </c>
      <c r="I166" s="97">
        <f>((H98*(1-'5.Closing Stock &amp; W Capital'!$D$15))+(G98*'5.Closing Stock &amp; W Capital'!$D$15))*$C166*I$124</f>
        <v>0</v>
      </c>
      <c r="J166" s="97">
        <f>((I98*(1-'5.Closing Stock &amp; W Capital'!$D$15))+(H98*'5.Closing Stock &amp; W Capital'!$D$15))*$C166*J$124</f>
        <v>0</v>
      </c>
      <c r="K166" s="92"/>
      <c r="U166" s="92"/>
      <c r="V166" s="92"/>
      <c r="W166" s="92"/>
    </row>
    <row r="167" spans="1:23" ht="14.25" customHeight="1">
      <c r="A167" s="56" t="str">
        <f t="shared" si="54"/>
        <v>Brinjal</v>
      </c>
      <c r="B167" s="56"/>
      <c r="C167" s="316"/>
      <c r="D167" s="97">
        <f>(C99*(1-'5.Closing Stock &amp; W Capital'!$D$15))*$C167*D$124</f>
        <v>0</v>
      </c>
      <c r="E167" s="97">
        <f>((D99*(1-'5.Closing Stock &amp; W Capital'!$D$15))+(C99*'5.Closing Stock &amp; W Capital'!$D$15))*$C167*E$124</f>
        <v>0</v>
      </c>
      <c r="F167" s="97">
        <f>((E99*(1-'5.Closing Stock &amp; W Capital'!$D$15))+(D99*'5.Closing Stock &amp; W Capital'!$D$15))*$C167*F$124</f>
        <v>0</v>
      </c>
      <c r="G167" s="97">
        <f>((F99*(1-'5.Closing Stock &amp; W Capital'!$D$15))+(E99*'5.Closing Stock &amp; W Capital'!$D$15))*$C167*G$124</f>
        <v>0</v>
      </c>
      <c r="H167" s="97">
        <f>((G99*(1-'5.Closing Stock &amp; W Capital'!$D$15))+(F99*'5.Closing Stock &amp; W Capital'!$D$15))*$C167*H$124</f>
        <v>0</v>
      </c>
      <c r="I167" s="97">
        <f>((H99*(1-'5.Closing Stock &amp; W Capital'!$D$15))+(G99*'5.Closing Stock &amp; W Capital'!$D$15))*$C167*I$124</f>
        <v>0</v>
      </c>
      <c r="J167" s="97">
        <f>((I99*(1-'5.Closing Stock &amp; W Capital'!$D$15))+(H99*'5.Closing Stock &amp; W Capital'!$D$15))*$C167*J$124</f>
        <v>0</v>
      </c>
      <c r="K167" s="92"/>
      <c r="U167" s="92"/>
      <c r="V167" s="92"/>
      <c r="W167" s="92"/>
    </row>
    <row r="168" spans="1:23" ht="14.25" customHeight="1">
      <c r="A168" s="56">
        <f t="shared" si="54"/>
        <v>0</v>
      </c>
      <c r="B168" s="56"/>
      <c r="C168" s="316"/>
      <c r="D168" s="97">
        <f>(C100*(1-'5.Closing Stock &amp; W Capital'!$D$15))*$C168*D$124</f>
        <v>0</v>
      </c>
      <c r="E168" s="97">
        <f>((D100*(1-'5.Closing Stock &amp; W Capital'!$D$15))+(C100*'5.Closing Stock &amp; W Capital'!$D$15))*$C168*E$124</f>
        <v>0</v>
      </c>
      <c r="F168" s="97">
        <f>((E100*(1-'5.Closing Stock &amp; W Capital'!$D$15))+(D100*'5.Closing Stock &amp; W Capital'!$D$15))*$C168*F$124</f>
        <v>0</v>
      </c>
      <c r="G168" s="97">
        <f>((F100*(1-'5.Closing Stock &amp; W Capital'!$D$15))+(E100*'5.Closing Stock &amp; W Capital'!$D$15))*$C168*G$124</f>
        <v>0</v>
      </c>
      <c r="H168" s="97">
        <f>((G100*(1-'5.Closing Stock &amp; W Capital'!$D$15))+(F100*'5.Closing Stock &amp; W Capital'!$D$15))*$C168*H$124</f>
        <v>0</v>
      </c>
      <c r="I168" s="97">
        <f>((H100*(1-'5.Closing Stock &amp; W Capital'!$D$15))+(G100*'5.Closing Stock &amp; W Capital'!$D$15))*$C168*I$124</f>
        <v>0</v>
      </c>
      <c r="J168" s="97">
        <f>((I100*(1-'5.Closing Stock &amp; W Capital'!$D$15))+(H100*'5.Closing Stock &amp; W Capital'!$D$15))*$C168*J$124</f>
        <v>0</v>
      </c>
      <c r="K168" s="92"/>
      <c r="U168" s="92"/>
      <c r="V168" s="92"/>
      <c r="W168" s="92"/>
    </row>
    <row r="169" spans="1:23" ht="14.25" customHeight="1">
      <c r="A169" s="56">
        <f t="shared" si="54"/>
        <v>0</v>
      </c>
      <c r="B169" s="56"/>
      <c r="C169" s="316"/>
      <c r="D169" s="97">
        <f>(C101*(1-'5.Closing Stock &amp; W Capital'!$D$15))*$C169*D$124</f>
        <v>0</v>
      </c>
      <c r="E169" s="97">
        <f>((D101*(1-'5.Closing Stock &amp; W Capital'!$D$15))+(C101*'5.Closing Stock &amp; W Capital'!$D$15))*$C169*E$124</f>
        <v>0</v>
      </c>
      <c r="F169" s="97">
        <f>((E101*(1-'5.Closing Stock &amp; W Capital'!$D$15))+(D101*'5.Closing Stock &amp; W Capital'!$D$15))*$C169*F$124</f>
        <v>0</v>
      </c>
      <c r="G169" s="97">
        <f>((F101*(1-'5.Closing Stock &amp; W Capital'!$D$15))+(E101*'5.Closing Stock &amp; W Capital'!$D$15))*$C169*G$124</f>
        <v>0</v>
      </c>
      <c r="H169" s="97">
        <f>((G101*(1-'5.Closing Stock &amp; W Capital'!$D$15))+(F101*'5.Closing Stock &amp; W Capital'!$D$15))*$C169*H$124</f>
        <v>0</v>
      </c>
      <c r="I169" s="97">
        <f>((H101*(1-'5.Closing Stock &amp; W Capital'!$D$15))+(G101*'5.Closing Stock &amp; W Capital'!$D$15))*$C169*I$124</f>
        <v>0</v>
      </c>
      <c r="J169" s="97">
        <f>((I101*(1-'5.Closing Stock &amp; W Capital'!$D$15))+(H101*'5.Closing Stock &amp; W Capital'!$D$15))*$C169*J$124</f>
        <v>0</v>
      </c>
      <c r="K169" s="92"/>
      <c r="U169" s="92"/>
      <c r="V169" s="92"/>
      <c r="W169" s="92"/>
    </row>
    <row r="170" spans="1:23" ht="14.25" customHeight="1">
      <c r="A170" s="56">
        <f t="shared" si="54"/>
        <v>0</v>
      </c>
      <c r="B170" s="56"/>
      <c r="C170" s="316"/>
      <c r="D170" s="97">
        <f>(C102*(1-'5.Closing Stock &amp; W Capital'!$D$15))*$C170*D$124</f>
        <v>0</v>
      </c>
      <c r="E170" s="97">
        <f>((D102*(1-'5.Closing Stock &amp; W Capital'!$D$15))+(C102*'5.Closing Stock &amp; W Capital'!$D$15))*$C170*E$124</f>
        <v>0</v>
      </c>
      <c r="F170" s="97">
        <f>((E102*(1-'5.Closing Stock &amp; W Capital'!$D$15))+(D102*'5.Closing Stock &amp; W Capital'!$D$15))*$C170*F$124</f>
        <v>0</v>
      </c>
      <c r="G170" s="97">
        <f>((F102*(1-'5.Closing Stock &amp; W Capital'!$D$15))+(E102*'5.Closing Stock &amp; W Capital'!$D$15))*$C170*G$124</f>
        <v>0</v>
      </c>
      <c r="H170" s="97">
        <f>((G102*(1-'5.Closing Stock &amp; W Capital'!$D$15))+(F102*'5.Closing Stock &amp; W Capital'!$D$15))*$C170*H$124</f>
        <v>0</v>
      </c>
      <c r="I170" s="97">
        <f>((H102*(1-'5.Closing Stock &amp; W Capital'!$D$15))+(G102*'5.Closing Stock &amp; W Capital'!$D$15))*$C170*I$124</f>
        <v>0</v>
      </c>
      <c r="J170" s="97">
        <f>((I102*(1-'5.Closing Stock &amp; W Capital'!$D$15))+(H102*'5.Closing Stock &amp; W Capital'!$D$15))*$C170*J$124</f>
        <v>0</v>
      </c>
      <c r="K170" s="92"/>
      <c r="U170" s="92"/>
      <c r="V170" s="92"/>
      <c r="W170" s="92"/>
    </row>
    <row r="171" spans="1:23" ht="14.25" customHeight="1">
      <c r="A171" s="56">
        <f t="shared" si="54"/>
        <v>0</v>
      </c>
      <c r="B171" s="56"/>
      <c r="C171" s="316"/>
      <c r="D171" s="97">
        <f>(C103*(1-'5.Closing Stock &amp; W Capital'!$D$15))*$C171*D$124</f>
        <v>0</v>
      </c>
      <c r="E171" s="97">
        <f>((D103*(1-'5.Closing Stock &amp; W Capital'!$D$15))+(C103*'5.Closing Stock &amp; W Capital'!$D$15))*$C171*E$124</f>
        <v>0</v>
      </c>
      <c r="F171" s="97">
        <f>((E103*(1-'5.Closing Stock &amp; W Capital'!$D$15))+(D103*'5.Closing Stock &amp; W Capital'!$D$15))*$C171*F$124</f>
        <v>0</v>
      </c>
      <c r="G171" s="97">
        <f>((F103*(1-'5.Closing Stock &amp; W Capital'!$D$15))+(E103*'5.Closing Stock &amp; W Capital'!$D$15))*$C171*G$124</f>
        <v>0</v>
      </c>
      <c r="H171" s="97">
        <f>((G103*(1-'5.Closing Stock &amp; W Capital'!$D$15))+(F103*'5.Closing Stock &amp; W Capital'!$D$15))*$C171*H$124</f>
        <v>0</v>
      </c>
      <c r="I171" s="97">
        <f>((H103*(1-'5.Closing Stock &amp; W Capital'!$D$15))+(G103*'5.Closing Stock &amp; W Capital'!$D$15))*$C171*I$124</f>
        <v>0</v>
      </c>
      <c r="J171" s="97">
        <f>((I103*(1-'5.Closing Stock &amp; W Capital'!$D$15))+(H103*'5.Closing Stock &amp; W Capital'!$D$15))*$C171*J$124</f>
        <v>0</v>
      </c>
      <c r="K171" s="92"/>
      <c r="U171" s="92"/>
      <c r="V171" s="92"/>
      <c r="W171" s="92"/>
    </row>
    <row r="172" spans="1:23" ht="14.25" customHeight="1">
      <c r="A172" s="56">
        <f t="shared" si="54"/>
        <v>0</v>
      </c>
      <c r="B172" s="56"/>
      <c r="C172" s="316"/>
      <c r="D172" s="97">
        <f>(C104*(1-'5.Closing Stock &amp; W Capital'!$D$15))*$C172*D$124</f>
        <v>0</v>
      </c>
      <c r="E172" s="97">
        <f>((D104*(1-'5.Closing Stock &amp; W Capital'!$D$15))+(C104*'5.Closing Stock &amp; W Capital'!$D$15))*$C172*E$124</f>
        <v>0</v>
      </c>
      <c r="F172" s="97">
        <f>((E104*(1-'5.Closing Stock &amp; W Capital'!$D$15))+(D104*'5.Closing Stock &amp; W Capital'!$D$15))*$C172*F$124</f>
        <v>0</v>
      </c>
      <c r="G172" s="97">
        <f>((F104*(1-'5.Closing Stock &amp; W Capital'!$D$15))+(E104*'5.Closing Stock &amp; W Capital'!$D$15))*$C172*G$124</f>
        <v>0</v>
      </c>
      <c r="H172" s="97">
        <f>((G104*(1-'5.Closing Stock &amp; W Capital'!$D$15))+(F104*'5.Closing Stock &amp; W Capital'!$D$15))*$C172*H$124</f>
        <v>0</v>
      </c>
      <c r="I172" s="97">
        <f>((H104*(1-'5.Closing Stock &amp; W Capital'!$D$15))+(G104*'5.Closing Stock &amp; W Capital'!$D$15))*$C172*I$124</f>
        <v>0</v>
      </c>
      <c r="J172" s="97">
        <f>((I104*(1-'5.Closing Stock &amp; W Capital'!$D$15))+(H104*'5.Closing Stock &amp; W Capital'!$D$15))*$C172*J$124</f>
        <v>0</v>
      </c>
      <c r="K172" s="92"/>
      <c r="U172" s="92"/>
      <c r="V172" s="92"/>
      <c r="W172" s="92"/>
    </row>
    <row r="173" spans="1:23" ht="14.25" customHeight="1">
      <c r="A173" s="56">
        <f t="shared" si="54"/>
        <v>0</v>
      </c>
      <c r="B173" s="56"/>
      <c r="C173" s="316"/>
      <c r="D173" s="97">
        <f>(C105*(1-'5.Closing Stock &amp; W Capital'!$D$15))*$C173*D$124</f>
        <v>0</v>
      </c>
      <c r="E173" s="97">
        <f>((D105*(1-'5.Closing Stock &amp; W Capital'!$D$15))+(C105*'5.Closing Stock &amp; W Capital'!$D$15))*$C173*E$124</f>
        <v>0</v>
      </c>
      <c r="F173" s="97">
        <f>((E105*(1-'5.Closing Stock &amp; W Capital'!$D$15))+(D105*'5.Closing Stock &amp; W Capital'!$D$15))*$C173*F$124</f>
        <v>0</v>
      </c>
      <c r="G173" s="97">
        <f>((F105*(1-'5.Closing Stock &amp; W Capital'!$D$15))+(E105*'5.Closing Stock &amp; W Capital'!$D$15))*$C173*G$124</f>
        <v>0</v>
      </c>
      <c r="H173" s="97">
        <f>((G105*(1-'5.Closing Stock &amp; W Capital'!$D$15))+(F105*'5.Closing Stock &amp; W Capital'!$D$15))*$C173*H$124</f>
        <v>0</v>
      </c>
      <c r="I173" s="97">
        <f>((H105*(1-'5.Closing Stock &amp; W Capital'!$D$15))+(G105*'5.Closing Stock &amp; W Capital'!$D$15))*$C173*I$124</f>
        <v>0</v>
      </c>
      <c r="J173" s="97">
        <f>((I105*(1-'5.Closing Stock &amp; W Capital'!$D$15))+(H105*'5.Closing Stock &amp; W Capital'!$D$15))*$C173*J$124</f>
        <v>0</v>
      </c>
      <c r="K173" s="92"/>
      <c r="U173" s="92"/>
      <c r="V173" s="92"/>
      <c r="W173" s="92"/>
    </row>
    <row r="174" spans="1:23" ht="14.25" customHeight="1">
      <c r="A174" s="56">
        <f t="shared" si="54"/>
        <v>0</v>
      </c>
      <c r="B174" s="56"/>
      <c r="C174" s="316"/>
      <c r="D174" s="97">
        <f>(C106*(1-'5.Closing Stock &amp; W Capital'!$D$15))*$C174*D$124</f>
        <v>0</v>
      </c>
      <c r="E174" s="97">
        <f>((D106*(1-'5.Closing Stock &amp; W Capital'!$D$15))+(C106*'5.Closing Stock &amp; W Capital'!$D$15))*$C174*E$124</f>
        <v>0</v>
      </c>
      <c r="F174" s="97">
        <f>((E106*(1-'5.Closing Stock &amp; W Capital'!$D$15))+(D106*'5.Closing Stock &amp; W Capital'!$D$15))*$C174*F$124</f>
        <v>0</v>
      </c>
      <c r="G174" s="97">
        <f>((F106*(1-'5.Closing Stock &amp; W Capital'!$D$15))+(E106*'5.Closing Stock &amp; W Capital'!$D$15))*$C174*G$124</f>
        <v>0</v>
      </c>
      <c r="H174" s="97">
        <f>((G106*(1-'5.Closing Stock &amp; W Capital'!$D$15))+(F106*'5.Closing Stock &amp; W Capital'!$D$15))*$C174*H$124</f>
        <v>0</v>
      </c>
      <c r="I174" s="97">
        <f>((H106*(1-'5.Closing Stock &amp; W Capital'!$D$15))+(G106*'5.Closing Stock &amp; W Capital'!$D$15))*$C174*I$124</f>
        <v>0</v>
      </c>
      <c r="J174" s="97">
        <f>((I106*(1-'5.Closing Stock &amp; W Capital'!$D$15))+(H106*'5.Closing Stock &amp; W Capital'!$D$15))*$C174*J$124</f>
        <v>0</v>
      </c>
      <c r="K174" s="92"/>
      <c r="U174" s="92"/>
      <c r="V174" s="92"/>
      <c r="W174" s="92"/>
    </row>
    <row r="175" spans="1:23" ht="14.25" customHeight="1">
      <c r="A175" s="56" t="str">
        <f t="shared" si="54"/>
        <v>Pomegranate</v>
      </c>
      <c r="B175" s="56"/>
      <c r="C175" s="316"/>
      <c r="D175" s="97">
        <f>(C107*(1-'5.Closing Stock &amp; W Capital'!$D$15))*$C175*D$124</f>
        <v>0</v>
      </c>
      <c r="E175" s="97">
        <f>((D107*(1-'5.Closing Stock &amp; W Capital'!$D$15))+(C107*'5.Closing Stock &amp; W Capital'!$D$15))*$C175*E$124</f>
        <v>0</v>
      </c>
      <c r="F175" s="97">
        <f>((E107*(1-'5.Closing Stock &amp; W Capital'!$D$15))+(D107*'5.Closing Stock &amp; W Capital'!$D$15))*$C175*F$124</f>
        <v>0</v>
      </c>
      <c r="G175" s="97">
        <f>((F107*(1-'5.Closing Stock &amp; W Capital'!$D$15))+(E107*'5.Closing Stock &amp; W Capital'!$D$15))*$C175*G$124</f>
        <v>0</v>
      </c>
      <c r="H175" s="97">
        <f>((G107*(1-'5.Closing Stock &amp; W Capital'!$D$15))+(F107*'5.Closing Stock &amp; W Capital'!$D$15))*$C175*H$124</f>
        <v>0</v>
      </c>
      <c r="I175" s="97">
        <f>((H107*(1-'5.Closing Stock &amp; W Capital'!$D$15))+(G107*'5.Closing Stock &amp; W Capital'!$D$15))*$C175*I$124</f>
        <v>0</v>
      </c>
      <c r="J175" s="97">
        <f>((I107*(1-'5.Closing Stock &amp; W Capital'!$D$15))+(H107*'5.Closing Stock &amp; W Capital'!$D$15))*$C175*J$124</f>
        <v>0</v>
      </c>
      <c r="K175" s="92"/>
      <c r="U175" s="92"/>
      <c r="V175" s="92"/>
      <c r="W175" s="92"/>
    </row>
    <row r="176" spans="1:23" ht="14.25" customHeight="1">
      <c r="A176" s="56" t="str">
        <f t="shared" si="54"/>
        <v>Custard Apple</v>
      </c>
      <c r="B176" s="56"/>
      <c r="C176" s="316"/>
      <c r="D176" s="97">
        <f>(C108*(1-'5.Closing Stock &amp; W Capital'!$D$15))*$C176*D$124</f>
        <v>0</v>
      </c>
      <c r="E176" s="97">
        <f>((D108*(1-'5.Closing Stock &amp; W Capital'!$D$15))+(C108*'5.Closing Stock &amp; W Capital'!$D$15))*$C176*E$124</f>
        <v>0</v>
      </c>
      <c r="F176" s="97">
        <f>((E108*(1-'5.Closing Stock &amp; W Capital'!$D$15))+(D108*'5.Closing Stock &amp; W Capital'!$D$15))*$C176*F$124</f>
        <v>0</v>
      </c>
      <c r="G176" s="97">
        <f>((F108*(1-'5.Closing Stock &amp; W Capital'!$D$15))+(E108*'5.Closing Stock &amp; W Capital'!$D$15))*$C176*G$124</f>
        <v>0</v>
      </c>
      <c r="H176" s="97">
        <f>((G108*(1-'5.Closing Stock &amp; W Capital'!$D$15))+(F108*'5.Closing Stock &amp; W Capital'!$D$15))*$C176*H$124</f>
        <v>0</v>
      </c>
      <c r="I176" s="97">
        <f>((H108*(1-'5.Closing Stock &amp; W Capital'!$D$15))+(G108*'5.Closing Stock &amp; W Capital'!$D$15))*$C176*I$124</f>
        <v>0</v>
      </c>
      <c r="J176" s="97">
        <f>((I108*(1-'5.Closing Stock &amp; W Capital'!$D$15))+(H108*'5.Closing Stock &amp; W Capital'!$D$15))*$C176*J$124</f>
        <v>0</v>
      </c>
      <c r="K176" s="92"/>
      <c r="U176" s="92"/>
      <c r="V176" s="92"/>
      <c r="W176" s="92"/>
    </row>
    <row r="177" spans="1:23" ht="14.25" customHeight="1">
      <c r="A177" s="56" t="str">
        <f t="shared" si="54"/>
        <v>Guava</v>
      </c>
      <c r="B177" s="56"/>
      <c r="C177" s="316"/>
      <c r="D177" s="97">
        <f>(C109*(1-'5.Closing Stock &amp; W Capital'!$D$15))*$C177*D$124</f>
        <v>0</v>
      </c>
      <c r="E177" s="97">
        <f>((D109*(1-'5.Closing Stock &amp; W Capital'!$D$15))+(C109*'5.Closing Stock &amp; W Capital'!$D$15))*$C177*E$124</f>
        <v>0</v>
      </c>
      <c r="F177" s="97">
        <f>((E109*(1-'5.Closing Stock &amp; W Capital'!$D$15))+(D109*'5.Closing Stock &amp; W Capital'!$D$15))*$C177*F$124</f>
        <v>0</v>
      </c>
      <c r="G177" s="97">
        <f>((F109*(1-'5.Closing Stock &amp; W Capital'!$D$15))+(E109*'5.Closing Stock &amp; W Capital'!$D$15))*$C177*G$124</f>
        <v>0</v>
      </c>
      <c r="H177" s="97">
        <f>((G109*(1-'5.Closing Stock &amp; W Capital'!$D$15))+(F109*'5.Closing Stock &amp; W Capital'!$D$15))*$C177*H$124</f>
        <v>0</v>
      </c>
      <c r="I177" s="97">
        <f>((H109*(1-'5.Closing Stock &amp; W Capital'!$D$15))+(G109*'5.Closing Stock &amp; W Capital'!$D$15))*$C177*I$124</f>
        <v>0</v>
      </c>
      <c r="J177" s="97">
        <f>((I109*(1-'5.Closing Stock &amp; W Capital'!$D$15))+(H109*'5.Closing Stock &amp; W Capital'!$D$15))*$C177*J$124</f>
        <v>0</v>
      </c>
      <c r="K177" s="92"/>
      <c r="U177" s="92"/>
      <c r="V177" s="92"/>
      <c r="W177" s="92"/>
    </row>
    <row r="178" spans="1:23" ht="14.25" customHeight="1">
      <c r="A178" s="56" t="str">
        <f t="shared" si="54"/>
        <v>Citrus</v>
      </c>
      <c r="B178" s="56"/>
      <c r="C178" s="316"/>
      <c r="D178" s="97">
        <f>(C110*(1-'5.Closing Stock &amp; W Capital'!$D$15))*$C178*D$124</f>
        <v>0</v>
      </c>
      <c r="E178" s="97">
        <f>((D110*(1-'5.Closing Stock &amp; W Capital'!$D$15))+(C110*'5.Closing Stock &amp; W Capital'!$D$15))*$C178*E$124</f>
        <v>0</v>
      </c>
      <c r="F178" s="97">
        <f>((E110*(1-'5.Closing Stock &amp; W Capital'!$D$15))+(D110*'5.Closing Stock &amp; W Capital'!$D$15))*$C178*F$124</f>
        <v>0</v>
      </c>
      <c r="G178" s="97">
        <f>((F110*(1-'5.Closing Stock &amp; W Capital'!$D$15))+(E110*'5.Closing Stock &amp; W Capital'!$D$15))*$C178*G$124</f>
        <v>0</v>
      </c>
      <c r="H178" s="97">
        <f>((G110*(1-'5.Closing Stock &amp; W Capital'!$D$15))+(F110*'5.Closing Stock &amp; W Capital'!$D$15))*$C178*H$124</f>
        <v>0</v>
      </c>
      <c r="I178" s="97">
        <f>((H110*(1-'5.Closing Stock &amp; W Capital'!$D$15))+(G110*'5.Closing Stock &amp; W Capital'!$D$15))*$C178*I$124</f>
        <v>0</v>
      </c>
      <c r="J178" s="97">
        <f>((I110*(1-'5.Closing Stock &amp; W Capital'!$D$15))+(H110*'5.Closing Stock &amp; W Capital'!$D$15))*$C178*J$124</f>
        <v>0</v>
      </c>
      <c r="K178" s="92"/>
      <c r="U178" s="92"/>
      <c r="V178" s="92"/>
      <c r="W178" s="92"/>
    </row>
    <row r="179" spans="1:23" ht="14.25" customHeight="1">
      <c r="A179" s="56">
        <f t="shared" si="54"/>
        <v>0</v>
      </c>
      <c r="B179" s="56"/>
      <c r="C179" s="316"/>
      <c r="D179" s="97"/>
      <c r="E179" s="97"/>
      <c r="F179" s="97"/>
      <c r="G179" s="97"/>
      <c r="H179" s="97"/>
      <c r="I179" s="97"/>
      <c r="J179" s="97"/>
      <c r="K179" s="92"/>
      <c r="U179" s="92"/>
      <c r="V179" s="92"/>
      <c r="W179" s="92"/>
    </row>
    <row r="180" spans="1:23" ht="14.25" customHeight="1">
      <c r="A180" s="56"/>
      <c r="B180" s="56"/>
      <c r="C180" s="97"/>
      <c r="D180" s="97"/>
      <c r="E180" s="97"/>
      <c r="F180" s="97"/>
      <c r="G180" s="97"/>
      <c r="H180" s="97"/>
      <c r="I180" s="97"/>
      <c r="J180" s="97"/>
      <c r="K180" s="92"/>
      <c r="U180" s="92"/>
      <c r="V180" s="92"/>
      <c r="W180" s="92"/>
    </row>
    <row r="181" spans="1:23" ht="14.25" customHeight="1">
      <c r="A181" s="56" t="s">
        <v>739</v>
      </c>
      <c r="B181" s="56"/>
      <c r="C181" s="97" t="s">
        <v>738</v>
      </c>
      <c r="D181" s="97"/>
      <c r="E181" s="97"/>
      <c r="F181" s="97"/>
      <c r="G181" s="97"/>
      <c r="H181" s="97"/>
      <c r="I181" s="97"/>
      <c r="J181" s="97"/>
      <c r="K181" s="92"/>
      <c r="U181" s="92"/>
      <c r="V181" s="92"/>
      <c r="W181" s="92"/>
    </row>
    <row r="182" spans="1:23" ht="14.25" customHeight="1">
      <c r="A182" s="56" t="s">
        <v>729</v>
      </c>
      <c r="B182" s="56"/>
      <c r="C182" s="316">
        <f>350/50</f>
        <v>7</v>
      </c>
      <c r="D182" s="97">
        <f>(C114*(1-'5.Closing Stock &amp; W Capital'!$D$15))*$C$182*D124</f>
        <v>0</v>
      </c>
      <c r="E182" s="97">
        <f>((D114*(1-'5.Closing Stock &amp; W Capital'!$D$15))+(C114*'5.Closing Stock &amp; W Capital'!$D$15))*$C$182*E124</f>
        <v>0</v>
      </c>
      <c r="F182" s="97">
        <f>((E114*(1-'5.Closing Stock &amp; W Capital'!$D$15))+(D114*'5.Closing Stock &amp; W Capital'!$D$15))*$C$182*F124</f>
        <v>0</v>
      </c>
      <c r="G182" s="97">
        <f>((F114*(1-'5.Closing Stock &amp; W Capital'!$D$15))+(E114*'5.Closing Stock &amp; W Capital'!$D$15))*$C$182*G124</f>
        <v>0</v>
      </c>
      <c r="H182" s="97">
        <f>((G114*(1-'5.Closing Stock &amp; W Capital'!$D$15))+(F114*'5.Closing Stock &amp; W Capital'!$D$15))*$C$182*H124</f>
        <v>0</v>
      </c>
      <c r="I182" s="97">
        <f>((H114*(1-'5.Closing Stock &amp; W Capital'!$D$15))+(G114*'5.Closing Stock &amp; W Capital'!$D$15))*$C$182*I124</f>
        <v>0</v>
      </c>
      <c r="J182" s="97">
        <f>((I114*(1-'5.Closing Stock &amp; W Capital'!$D$15))+(H114*'5.Closing Stock &amp; W Capital'!$D$15))*$C$182*J124</f>
        <v>0</v>
      </c>
      <c r="K182" s="92"/>
      <c r="U182" s="92"/>
      <c r="V182" s="92"/>
      <c r="W182" s="92"/>
    </row>
    <row r="183" spans="1:23" ht="14.25" customHeight="1">
      <c r="A183" s="56" t="s">
        <v>730</v>
      </c>
      <c r="B183" s="56"/>
      <c r="C183" s="316">
        <v>8</v>
      </c>
      <c r="D183" s="97">
        <f>(C115*(1-'5.Closing Stock &amp; W Capital'!$D$15))*$C$183*D124</f>
        <v>0</v>
      </c>
      <c r="E183" s="97">
        <f>((D115*(1-'5.Closing Stock &amp; W Capital'!$D$15))+(C115*'5.Closing Stock &amp; W Capital'!$D$15))*$C$183*E124</f>
        <v>0</v>
      </c>
      <c r="F183" s="97">
        <f>((E115*(1-'5.Closing Stock &amp; W Capital'!$D$15))+(D115*'5.Closing Stock &amp; W Capital'!$D$15))*$C$183*F124</f>
        <v>0</v>
      </c>
      <c r="G183" s="97">
        <f>((F115*(1-'5.Closing Stock &amp; W Capital'!$D$15))+(E115*'5.Closing Stock &amp; W Capital'!$D$15))*$C$183*G124</f>
        <v>0</v>
      </c>
      <c r="H183" s="97">
        <f>((G115*(1-'5.Closing Stock &amp; W Capital'!$D$15))+(F115*'5.Closing Stock &amp; W Capital'!$D$15))*$C$183*H124</f>
        <v>0</v>
      </c>
      <c r="I183" s="97">
        <f>((H115*(1-'5.Closing Stock &amp; W Capital'!$D$15))+(G115*'5.Closing Stock &amp; W Capital'!$D$15))*$C$183*I124</f>
        <v>0</v>
      </c>
      <c r="J183" s="97">
        <f>((I115*(1-'5.Closing Stock &amp; W Capital'!$D$15))+(H115*'5.Closing Stock &amp; W Capital'!$D$15))*$C$183*J124</f>
        <v>0</v>
      </c>
      <c r="K183" s="92"/>
      <c r="U183" s="92"/>
      <c r="V183" s="92"/>
      <c r="W183" s="92"/>
    </row>
    <row r="184" spans="1:23" ht="14.25" customHeight="1">
      <c r="A184" s="56" t="s">
        <v>731</v>
      </c>
      <c r="B184" s="56"/>
      <c r="C184" s="316">
        <v>30</v>
      </c>
      <c r="D184" s="97">
        <f>(C116*(1-'5.Closing Stock &amp; W Capital'!$D$15))*$C$184*D124</f>
        <v>0</v>
      </c>
      <c r="E184" s="97">
        <f>((D116*(1-'5.Closing Stock &amp; W Capital'!$D$15))+(C116*'5.Closing Stock &amp; W Capital'!$D$15))*$C$184*E124</f>
        <v>0</v>
      </c>
      <c r="F184" s="97">
        <f>((E116*(1-'5.Closing Stock &amp; W Capital'!$D$15))+(D116*'5.Closing Stock &amp; W Capital'!$D$15))*$C$184*F124</f>
        <v>0</v>
      </c>
      <c r="G184" s="97">
        <f>((F116*(1-'5.Closing Stock &amp; W Capital'!$D$15))+(E116*'5.Closing Stock &amp; W Capital'!$D$15))*$C$184*G124</f>
        <v>0</v>
      </c>
      <c r="H184" s="97">
        <f>((G116*(1-'5.Closing Stock &amp; W Capital'!$D$15))+(F116*'5.Closing Stock &amp; W Capital'!$D$15))*$C$184*H124</f>
        <v>0</v>
      </c>
      <c r="I184" s="97">
        <f>((H116*(1-'5.Closing Stock &amp; W Capital'!$D$15))+(G116*'5.Closing Stock &amp; W Capital'!$D$15))*$C$184*I124</f>
        <v>0</v>
      </c>
      <c r="J184" s="97">
        <f>((I116*(1-'5.Closing Stock &amp; W Capital'!$D$15))+(H116*'5.Closing Stock &amp; W Capital'!$D$15))*$C$184*J124</f>
        <v>0</v>
      </c>
      <c r="K184" s="92"/>
      <c r="U184" s="92"/>
      <c r="V184" s="92"/>
      <c r="W184" s="92"/>
    </row>
    <row r="185" spans="1:23" ht="14.25" customHeight="1">
      <c r="A185" s="56"/>
      <c r="B185" s="56"/>
      <c r="C185" s="97"/>
      <c r="D185" s="97"/>
      <c r="E185" s="97"/>
      <c r="F185" s="97"/>
      <c r="G185" s="97"/>
      <c r="H185" s="97"/>
      <c r="I185" s="97"/>
      <c r="J185" s="97"/>
      <c r="K185" s="92"/>
      <c r="U185" s="92"/>
      <c r="V185" s="92"/>
      <c r="W185" s="92"/>
    </row>
    <row r="186" spans="1:23" ht="14.25" customHeight="1">
      <c r="A186" s="56" t="s">
        <v>740</v>
      </c>
      <c r="B186" s="56"/>
      <c r="C186" s="97" t="s">
        <v>741</v>
      </c>
      <c r="D186" s="97"/>
      <c r="E186" s="97"/>
      <c r="F186" s="97"/>
      <c r="G186" s="97"/>
      <c r="H186" s="97"/>
      <c r="I186" s="97"/>
      <c r="J186" s="97"/>
      <c r="K186" s="92"/>
      <c r="U186" s="92"/>
      <c r="V186" s="92"/>
      <c r="W186" s="92"/>
    </row>
    <row r="187" spans="1:23" ht="14.25" customHeight="1">
      <c r="A187" s="56" t="s">
        <v>733</v>
      </c>
      <c r="B187" s="56"/>
      <c r="C187" s="316">
        <v>3000</v>
      </c>
      <c r="D187" s="97">
        <f>(C118*(1-'5.Closing Stock &amp; W Capital'!$D$15))*$C$187*D124</f>
        <v>0</v>
      </c>
      <c r="E187" s="97">
        <f>((D118*(1-'5.Closing Stock &amp; W Capital'!$D$15))+(C118*'5.Closing Stock &amp; W Capital'!$D$15))*$C$187*E124</f>
        <v>0</v>
      </c>
      <c r="F187" s="97">
        <f>((E118*(1-'5.Closing Stock &amp; W Capital'!$D$15))+(D118*'5.Closing Stock &amp; W Capital'!$D$15))*$C$187*F124</f>
        <v>0</v>
      </c>
      <c r="G187" s="97">
        <f>((F118*(1-'5.Closing Stock &amp; W Capital'!$D$15))+(E118*'5.Closing Stock &amp; W Capital'!$D$15))*$C$187*G124</f>
        <v>0</v>
      </c>
      <c r="H187" s="97">
        <f>((G118*(1-'5.Closing Stock &amp; W Capital'!$D$15))+(F118*'5.Closing Stock &amp; W Capital'!$D$15))*$C$187*H124</f>
        <v>0</v>
      </c>
      <c r="I187" s="97">
        <f>((H118*(1-'5.Closing Stock &amp; W Capital'!$D$15))+(G118*'5.Closing Stock &amp; W Capital'!$D$15))*$C$187*I124</f>
        <v>0</v>
      </c>
      <c r="J187" s="97">
        <f>((I118*(1-'5.Closing Stock &amp; W Capital'!$D$15))+(H118*'5.Closing Stock &amp; W Capital'!$D$15))*$C$187*J124</f>
        <v>0</v>
      </c>
      <c r="K187" s="92"/>
      <c r="U187" s="324"/>
      <c r="V187" s="324"/>
      <c r="W187" s="324"/>
    </row>
    <row r="188" spans="1:23" ht="14.25" customHeight="1">
      <c r="A188" s="56" t="s">
        <v>734</v>
      </c>
      <c r="B188" s="56"/>
      <c r="C188" s="316">
        <v>2200</v>
      </c>
      <c r="D188" s="97">
        <f>(C119*(1-'5.Closing Stock &amp; W Capital'!$D$15))*$C$188*D124</f>
        <v>0</v>
      </c>
      <c r="E188" s="97">
        <f>((D119*(1-'5.Closing Stock &amp; W Capital'!$D$15))+(C119*'5.Closing Stock &amp; W Capital'!$D$15))*$C$188*E124</f>
        <v>0</v>
      </c>
      <c r="F188" s="97">
        <f>((E119*(1-'5.Closing Stock &amp; W Capital'!$D$15))+(D119*'5.Closing Stock &amp; W Capital'!$D$15))*$C$188*F124</f>
        <v>0</v>
      </c>
      <c r="G188" s="97">
        <f>((F119*(1-'5.Closing Stock &amp; W Capital'!$D$15))+(E119*'5.Closing Stock &amp; W Capital'!$D$15))*$C$188*G124</f>
        <v>0</v>
      </c>
      <c r="H188" s="97">
        <f>((G119*(1-'5.Closing Stock &amp; W Capital'!$D$15))+(F119*'5.Closing Stock &amp; W Capital'!$D$15))*$C$188*H124</f>
        <v>0</v>
      </c>
      <c r="I188" s="97">
        <f>((H119*(1-'5.Closing Stock &amp; W Capital'!$D$15))+(G119*'5.Closing Stock &amp; W Capital'!$D$15))*$C$188*I124</f>
        <v>0</v>
      </c>
      <c r="J188" s="97">
        <f>((I119*(1-'5.Closing Stock &amp; W Capital'!$D$15))+(H119*'5.Closing Stock &amp; W Capital'!$D$15))*$C$188*J124</f>
        <v>0</v>
      </c>
      <c r="K188" s="92"/>
      <c r="U188" s="92"/>
      <c r="V188" s="92"/>
      <c r="W188" s="92"/>
    </row>
    <row r="189" spans="1:23" ht="14.25" customHeight="1">
      <c r="A189" s="56"/>
      <c r="B189" s="56"/>
      <c r="C189" s="97"/>
      <c r="D189" s="97"/>
      <c r="E189" s="97"/>
      <c r="F189" s="97"/>
      <c r="G189" s="97"/>
      <c r="H189" s="97"/>
      <c r="I189" s="97"/>
      <c r="J189" s="97"/>
      <c r="K189" s="92"/>
      <c r="U189" s="92"/>
      <c r="V189" s="92"/>
      <c r="W189" s="92"/>
    </row>
    <row r="190" spans="1:23" ht="14.25" customHeight="1">
      <c r="A190" s="56"/>
      <c r="B190" s="56"/>
      <c r="C190" s="97"/>
      <c r="D190" s="97"/>
      <c r="E190" s="97"/>
      <c r="F190" s="97"/>
      <c r="G190" s="97"/>
      <c r="H190" s="97"/>
      <c r="I190" s="97"/>
      <c r="J190" s="97"/>
      <c r="K190" s="92"/>
      <c r="U190" s="92"/>
      <c r="V190" s="92"/>
      <c r="W190" s="92"/>
    </row>
    <row r="191" spans="1:23" ht="14.25" customHeight="1">
      <c r="A191" s="98" t="s">
        <v>403</v>
      </c>
      <c r="B191" s="98"/>
      <c r="C191" s="99"/>
      <c r="D191" s="99">
        <f t="shared" ref="D191:J191" si="55">SUM(D130:D190)</f>
        <v>0</v>
      </c>
      <c r="E191" s="99">
        <f t="shared" si="55"/>
        <v>0</v>
      </c>
      <c r="F191" s="99">
        <f t="shared" si="55"/>
        <v>0</v>
      </c>
      <c r="G191" s="99">
        <f t="shared" si="55"/>
        <v>0</v>
      </c>
      <c r="H191" s="99">
        <f t="shared" si="55"/>
        <v>0</v>
      </c>
      <c r="I191" s="99">
        <f t="shared" si="55"/>
        <v>0</v>
      </c>
      <c r="J191" s="99">
        <f t="shared" si="55"/>
        <v>0</v>
      </c>
      <c r="K191" s="92"/>
      <c r="U191" s="92"/>
      <c r="V191" s="92"/>
      <c r="W191" s="92"/>
    </row>
    <row r="192" spans="1:23" ht="14.25" customHeight="1">
      <c r="A192" s="56"/>
      <c r="B192" s="56"/>
      <c r="C192" s="97"/>
      <c r="D192" s="97"/>
      <c r="E192" s="97"/>
      <c r="F192" s="97"/>
      <c r="G192" s="97"/>
      <c r="H192" s="97"/>
      <c r="I192" s="97"/>
      <c r="J192" s="97"/>
      <c r="K192" s="92"/>
      <c r="U192" s="92"/>
      <c r="V192" s="92"/>
      <c r="W192" s="92"/>
    </row>
    <row r="193" spans="1:23" ht="14.25" customHeight="1">
      <c r="A193" s="56"/>
      <c r="B193" s="56"/>
      <c r="C193" s="97"/>
      <c r="D193" s="97"/>
      <c r="E193" s="97"/>
      <c r="F193" s="97"/>
      <c r="G193" s="97"/>
      <c r="H193" s="97"/>
      <c r="I193" s="97"/>
      <c r="J193" s="97"/>
      <c r="K193" s="92"/>
      <c r="U193" s="92"/>
      <c r="V193" s="92"/>
      <c r="W193" s="92"/>
    </row>
    <row r="194" spans="1:23" ht="14.25" customHeight="1">
      <c r="A194" s="98" t="s">
        <v>636</v>
      </c>
      <c r="B194" s="98"/>
      <c r="C194" s="97"/>
      <c r="D194" s="97"/>
      <c r="E194" s="97"/>
      <c r="F194" s="97"/>
      <c r="G194" s="97"/>
      <c r="H194" s="97"/>
      <c r="I194" s="97"/>
      <c r="J194" s="97"/>
      <c r="K194" s="92"/>
      <c r="U194" s="92"/>
      <c r="V194" s="92"/>
      <c r="W194" s="92"/>
    </row>
    <row r="195" spans="1:23" ht="14.25" customHeight="1">
      <c r="A195" s="98" t="str">
        <f>A128</f>
        <v>Seeds (Rate/KG)</v>
      </c>
      <c r="B195" s="98"/>
      <c r="C195" s="97"/>
      <c r="D195" s="97"/>
      <c r="E195" s="97"/>
      <c r="F195" s="97"/>
      <c r="G195" s="97"/>
      <c r="H195" s="97"/>
      <c r="I195" s="97"/>
      <c r="J195" s="97"/>
      <c r="K195" s="92"/>
      <c r="U195" s="92"/>
      <c r="V195" s="92"/>
      <c r="W195" s="92"/>
    </row>
    <row r="196" spans="1:23" ht="14.25" customHeight="1">
      <c r="A196" s="98" t="s">
        <v>404</v>
      </c>
      <c r="B196" s="56"/>
      <c r="C196" s="56"/>
      <c r="D196" s="56"/>
      <c r="E196" s="56"/>
      <c r="F196" s="56"/>
      <c r="G196" s="56"/>
      <c r="H196" s="56"/>
      <c r="I196" s="56"/>
      <c r="J196" s="56"/>
      <c r="K196" s="92"/>
      <c r="U196" s="92"/>
      <c r="V196" s="92"/>
      <c r="W196" s="92"/>
    </row>
    <row r="197" spans="1:23" ht="14.25" customHeight="1">
      <c r="A197" s="98" t="s">
        <v>742</v>
      </c>
      <c r="B197" s="56"/>
      <c r="C197" s="56"/>
      <c r="D197" s="56"/>
      <c r="E197" s="56"/>
      <c r="F197" s="56"/>
      <c r="G197" s="56"/>
      <c r="H197" s="56"/>
      <c r="I197" s="56"/>
      <c r="J197" s="56"/>
      <c r="K197" s="92"/>
      <c r="U197" s="92"/>
      <c r="V197" s="92"/>
      <c r="W197" s="92"/>
    </row>
    <row r="198" spans="1:23" ht="14.25" customHeight="1">
      <c r="A198" s="325" t="str">
        <f t="shared" ref="A198:A239" si="56">A130</f>
        <v>Soybean</v>
      </c>
      <c r="B198" s="92"/>
      <c r="C198" s="326">
        <v>85</v>
      </c>
      <c r="D198" s="327">
        <f t="shared" ref="D198:J198" si="57">C62*$C198*D$124</f>
        <v>0</v>
      </c>
      <c r="E198" s="327">
        <f t="shared" si="57"/>
        <v>0</v>
      </c>
      <c r="F198" s="327">
        <f t="shared" si="57"/>
        <v>0</v>
      </c>
      <c r="G198" s="327">
        <f t="shared" si="57"/>
        <v>0</v>
      </c>
      <c r="H198" s="327">
        <f t="shared" si="57"/>
        <v>0</v>
      </c>
      <c r="I198" s="327">
        <f t="shared" si="57"/>
        <v>0</v>
      </c>
      <c r="J198" s="327">
        <f t="shared" si="57"/>
        <v>0</v>
      </c>
      <c r="K198" s="92"/>
      <c r="U198" s="92"/>
      <c r="V198" s="92"/>
      <c r="W198" s="92"/>
    </row>
    <row r="199" spans="1:23" ht="14.25" customHeight="1">
      <c r="A199" s="56" t="str">
        <f t="shared" si="56"/>
        <v>Red Gram/Tur</v>
      </c>
      <c r="B199" s="56"/>
      <c r="C199" s="316">
        <v>75</v>
      </c>
      <c r="D199" s="97">
        <f t="shared" ref="D199:J199" si="58">C63*$C199*D$124</f>
        <v>0</v>
      </c>
      <c r="E199" s="97">
        <f t="shared" si="58"/>
        <v>0</v>
      </c>
      <c r="F199" s="97">
        <f t="shared" si="58"/>
        <v>0</v>
      </c>
      <c r="G199" s="97">
        <f t="shared" si="58"/>
        <v>0</v>
      </c>
      <c r="H199" s="97">
        <f t="shared" si="58"/>
        <v>0</v>
      </c>
      <c r="I199" s="97">
        <f t="shared" si="58"/>
        <v>0</v>
      </c>
      <c r="J199" s="97">
        <f t="shared" si="58"/>
        <v>0</v>
      </c>
      <c r="K199" s="92"/>
      <c r="U199" s="92"/>
      <c r="V199" s="92"/>
      <c r="W199" s="92"/>
    </row>
    <row r="200" spans="1:23" ht="14.25" customHeight="1">
      <c r="A200" s="56" t="str">
        <f t="shared" si="56"/>
        <v>Paddy/Rice</v>
      </c>
      <c r="B200" s="56"/>
      <c r="C200" s="316">
        <v>57</v>
      </c>
      <c r="D200" s="97">
        <f t="shared" ref="D200:J200" si="59">C64*$C200*D$124</f>
        <v>0</v>
      </c>
      <c r="E200" s="97">
        <f t="shared" si="59"/>
        <v>0</v>
      </c>
      <c r="F200" s="97">
        <f t="shared" si="59"/>
        <v>0</v>
      </c>
      <c r="G200" s="97">
        <f t="shared" si="59"/>
        <v>0</v>
      </c>
      <c r="H200" s="97">
        <f t="shared" si="59"/>
        <v>0</v>
      </c>
      <c r="I200" s="97">
        <f t="shared" si="59"/>
        <v>0</v>
      </c>
      <c r="J200" s="97">
        <f t="shared" si="59"/>
        <v>0</v>
      </c>
      <c r="K200" s="92"/>
      <c r="U200" s="92"/>
      <c r="V200" s="92"/>
      <c r="W200" s="92"/>
    </row>
    <row r="201" spans="1:23" ht="14.25" customHeight="1">
      <c r="A201" s="56" t="str">
        <f t="shared" si="56"/>
        <v>Green Gram/ Moong</v>
      </c>
      <c r="B201" s="56"/>
      <c r="C201" s="316">
        <v>80</v>
      </c>
      <c r="D201" s="97">
        <f t="shared" ref="D201:J201" si="60">C65*$C201*D$124</f>
        <v>0</v>
      </c>
      <c r="E201" s="97">
        <f t="shared" si="60"/>
        <v>0</v>
      </c>
      <c r="F201" s="97">
        <f t="shared" si="60"/>
        <v>0</v>
      </c>
      <c r="G201" s="97">
        <f t="shared" si="60"/>
        <v>0</v>
      </c>
      <c r="H201" s="97">
        <f t="shared" si="60"/>
        <v>0</v>
      </c>
      <c r="I201" s="97">
        <f t="shared" si="60"/>
        <v>0</v>
      </c>
      <c r="J201" s="97">
        <f t="shared" si="60"/>
        <v>0</v>
      </c>
      <c r="K201" s="92"/>
      <c r="L201" s="92"/>
      <c r="M201" s="92"/>
      <c r="N201" s="92"/>
      <c r="O201" s="92"/>
      <c r="P201" s="92"/>
      <c r="Q201" s="92"/>
      <c r="R201" s="92"/>
      <c r="S201" s="92"/>
      <c r="T201" s="92"/>
      <c r="U201" s="92"/>
      <c r="V201" s="92"/>
      <c r="W201" s="92"/>
    </row>
    <row r="202" spans="1:23" ht="14.25" customHeight="1">
      <c r="A202" s="56" t="str">
        <f t="shared" si="56"/>
        <v>Maize</v>
      </c>
      <c r="B202" s="56"/>
      <c r="C202" s="316">
        <v>25</v>
      </c>
      <c r="D202" s="97">
        <f t="shared" ref="D202:J202" si="61">C66*$C202*D$124</f>
        <v>0</v>
      </c>
      <c r="E202" s="97">
        <f t="shared" si="61"/>
        <v>0</v>
      </c>
      <c r="F202" s="97">
        <f t="shared" si="61"/>
        <v>0</v>
      </c>
      <c r="G202" s="97">
        <f t="shared" si="61"/>
        <v>0</v>
      </c>
      <c r="H202" s="97">
        <f t="shared" si="61"/>
        <v>0</v>
      </c>
      <c r="I202" s="97">
        <f t="shared" si="61"/>
        <v>0</v>
      </c>
      <c r="J202" s="97">
        <f t="shared" si="61"/>
        <v>0</v>
      </c>
      <c r="K202" s="92"/>
      <c r="L202" s="92"/>
      <c r="M202" s="92"/>
      <c r="N202" s="92"/>
      <c r="O202" s="92"/>
      <c r="P202" s="92"/>
      <c r="Q202" s="92"/>
      <c r="R202" s="92"/>
      <c r="S202" s="92"/>
      <c r="T202" s="92"/>
      <c r="U202" s="92"/>
      <c r="V202" s="92"/>
      <c r="W202" s="92"/>
    </row>
    <row r="203" spans="1:23" ht="14.25" customHeight="1">
      <c r="A203" s="56" t="str">
        <f t="shared" si="56"/>
        <v>Black Gram/Udid</v>
      </c>
      <c r="B203" s="56"/>
      <c r="C203" s="316">
        <v>70</v>
      </c>
      <c r="D203" s="97">
        <f t="shared" ref="D203:J203" si="62">C67*$C203*D$124</f>
        <v>0</v>
      </c>
      <c r="E203" s="97">
        <f t="shared" si="62"/>
        <v>0</v>
      </c>
      <c r="F203" s="97">
        <f t="shared" si="62"/>
        <v>0</v>
      </c>
      <c r="G203" s="97">
        <f t="shared" si="62"/>
        <v>0</v>
      </c>
      <c r="H203" s="97">
        <f t="shared" si="62"/>
        <v>0</v>
      </c>
      <c r="I203" s="97">
        <f t="shared" si="62"/>
        <v>0</v>
      </c>
      <c r="J203" s="97">
        <f t="shared" si="62"/>
        <v>0</v>
      </c>
      <c r="K203" s="92"/>
      <c r="L203" s="92"/>
      <c r="M203" s="92"/>
      <c r="N203" s="92"/>
      <c r="O203" s="92"/>
      <c r="P203" s="92"/>
      <c r="Q203" s="92"/>
      <c r="R203" s="92"/>
      <c r="S203" s="92"/>
      <c r="T203" s="92"/>
      <c r="U203" s="92"/>
      <c r="V203" s="92"/>
      <c r="W203" s="92"/>
    </row>
    <row r="204" spans="1:23" ht="14.25" customHeight="1">
      <c r="A204" s="56" t="str">
        <f t="shared" si="56"/>
        <v>Bajra</v>
      </c>
      <c r="B204" s="56"/>
      <c r="C204" s="316">
        <v>25</v>
      </c>
      <c r="D204" s="97">
        <f t="shared" ref="D204:J204" si="63">C68*$C204*D$124</f>
        <v>0</v>
      </c>
      <c r="E204" s="97">
        <f t="shared" si="63"/>
        <v>0</v>
      </c>
      <c r="F204" s="97">
        <f t="shared" si="63"/>
        <v>0</v>
      </c>
      <c r="G204" s="97">
        <f t="shared" si="63"/>
        <v>0</v>
      </c>
      <c r="H204" s="97">
        <f t="shared" si="63"/>
        <v>0</v>
      </c>
      <c r="I204" s="97">
        <f t="shared" si="63"/>
        <v>0</v>
      </c>
      <c r="J204" s="97">
        <f t="shared" si="63"/>
        <v>0</v>
      </c>
      <c r="K204" s="92"/>
      <c r="L204" s="92"/>
      <c r="M204" s="92"/>
      <c r="N204" s="92"/>
      <c r="O204" s="92"/>
      <c r="P204" s="92"/>
      <c r="Q204" s="92"/>
      <c r="R204" s="92"/>
      <c r="S204" s="92"/>
      <c r="T204" s="92"/>
      <c r="U204" s="92"/>
      <c r="V204" s="92"/>
      <c r="W204" s="92"/>
    </row>
    <row r="205" spans="1:23" ht="14.25" customHeight="1">
      <c r="A205" s="56" t="str">
        <f t="shared" si="56"/>
        <v>Jawar</v>
      </c>
      <c r="B205" s="56"/>
      <c r="C205" s="316">
        <v>25</v>
      </c>
      <c r="D205" s="97">
        <f t="shared" ref="D205:J205" si="64">C69*$C205*D$124</f>
        <v>0</v>
      </c>
      <c r="E205" s="97">
        <f t="shared" si="64"/>
        <v>0</v>
      </c>
      <c r="F205" s="97">
        <f t="shared" si="64"/>
        <v>0</v>
      </c>
      <c r="G205" s="97">
        <f t="shared" si="64"/>
        <v>0</v>
      </c>
      <c r="H205" s="97">
        <f t="shared" si="64"/>
        <v>0</v>
      </c>
      <c r="I205" s="97">
        <f t="shared" si="64"/>
        <v>0</v>
      </c>
      <c r="J205" s="97">
        <f t="shared" si="64"/>
        <v>0</v>
      </c>
      <c r="K205" s="92"/>
      <c r="L205" s="92"/>
      <c r="M205" s="92"/>
      <c r="N205" s="92"/>
      <c r="O205" s="92"/>
      <c r="P205" s="92"/>
      <c r="Q205" s="92"/>
      <c r="R205" s="92"/>
      <c r="S205" s="92"/>
      <c r="T205" s="92"/>
      <c r="U205" s="92"/>
      <c r="V205" s="92"/>
      <c r="W205" s="92"/>
    </row>
    <row r="206" spans="1:23" ht="14.25" customHeight="1">
      <c r="A206" s="98" t="str">
        <f t="shared" si="56"/>
        <v>Rabi Crop</v>
      </c>
      <c r="B206" s="56"/>
      <c r="C206" s="316"/>
      <c r="D206" s="97">
        <f t="shared" ref="D206:J206" si="65">C70*$C206*D$124</f>
        <v>0</v>
      </c>
      <c r="E206" s="97">
        <f t="shared" si="65"/>
        <v>0</v>
      </c>
      <c r="F206" s="97">
        <f t="shared" si="65"/>
        <v>0</v>
      </c>
      <c r="G206" s="97">
        <f t="shared" si="65"/>
        <v>0</v>
      </c>
      <c r="H206" s="97">
        <f t="shared" si="65"/>
        <v>0</v>
      </c>
      <c r="I206" s="97">
        <f t="shared" si="65"/>
        <v>0</v>
      </c>
      <c r="J206" s="97">
        <f t="shared" si="65"/>
        <v>0</v>
      </c>
      <c r="K206" s="92"/>
      <c r="L206" s="92"/>
      <c r="M206" s="92"/>
      <c r="N206" s="92"/>
      <c r="O206" s="92"/>
      <c r="P206" s="92"/>
      <c r="Q206" s="92"/>
      <c r="R206" s="92"/>
      <c r="S206" s="92"/>
      <c r="T206" s="92"/>
      <c r="U206" s="92"/>
      <c r="V206" s="92"/>
      <c r="W206" s="92"/>
    </row>
    <row r="207" spans="1:23" ht="14.25" customHeight="1">
      <c r="A207" s="56" t="str">
        <f t="shared" si="56"/>
        <v>Wheat</v>
      </c>
      <c r="B207" s="56"/>
      <c r="C207" s="316">
        <v>35</v>
      </c>
      <c r="D207" s="97">
        <f t="shared" ref="D207:J207" si="66">C71*$C207*D$124</f>
        <v>0</v>
      </c>
      <c r="E207" s="97">
        <f t="shared" si="66"/>
        <v>0</v>
      </c>
      <c r="F207" s="97">
        <f t="shared" si="66"/>
        <v>0</v>
      </c>
      <c r="G207" s="97">
        <f t="shared" si="66"/>
        <v>0</v>
      </c>
      <c r="H207" s="97">
        <f t="shared" si="66"/>
        <v>0</v>
      </c>
      <c r="I207" s="97">
        <f t="shared" si="66"/>
        <v>0</v>
      </c>
      <c r="J207" s="97">
        <f t="shared" si="66"/>
        <v>0</v>
      </c>
      <c r="K207" s="92"/>
      <c r="L207" s="92"/>
      <c r="M207" s="92"/>
      <c r="N207" s="92"/>
      <c r="O207" s="92"/>
      <c r="P207" s="92"/>
      <c r="Q207" s="92"/>
      <c r="R207" s="92"/>
      <c r="S207" s="92"/>
      <c r="T207" s="92"/>
      <c r="U207" s="92"/>
      <c r="V207" s="92"/>
      <c r="W207" s="92"/>
    </row>
    <row r="208" spans="1:23" ht="14.25" customHeight="1">
      <c r="A208" s="56" t="str">
        <f t="shared" si="56"/>
        <v>Bengal Gram/Channa</v>
      </c>
      <c r="B208" s="56"/>
      <c r="C208" s="316">
        <v>70</v>
      </c>
      <c r="D208" s="97">
        <f t="shared" ref="D208:J208" si="67">C72*$C208*D$124</f>
        <v>0</v>
      </c>
      <c r="E208" s="97">
        <f t="shared" si="67"/>
        <v>0</v>
      </c>
      <c r="F208" s="97">
        <f t="shared" si="67"/>
        <v>0</v>
      </c>
      <c r="G208" s="97">
        <f t="shared" si="67"/>
        <v>0</v>
      </c>
      <c r="H208" s="97">
        <f t="shared" si="67"/>
        <v>0</v>
      </c>
      <c r="I208" s="97">
        <f t="shared" si="67"/>
        <v>0</v>
      </c>
      <c r="J208" s="97">
        <f t="shared" si="67"/>
        <v>0</v>
      </c>
      <c r="K208" s="92"/>
      <c r="L208" s="92"/>
      <c r="M208" s="92"/>
      <c r="N208" s="92"/>
      <c r="O208" s="92"/>
      <c r="P208" s="92"/>
      <c r="Q208" s="92"/>
      <c r="R208" s="92"/>
      <c r="S208" s="92"/>
      <c r="T208" s="92"/>
      <c r="U208" s="92"/>
      <c r="V208" s="92"/>
      <c r="W208" s="92"/>
    </row>
    <row r="209" spans="1:23" ht="14.25" customHeight="1">
      <c r="A209" s="56" t="str">
        <f t="shared" si="56"/>
        <v>Jawar</v>
      </c>
      <c r="B209" s="56"/>
      <c r="C209" s="316">
        <v>25</v>
      </c>
      <c r="D209" s="97">
        <f t="shared" ref="D209:J209" si="68">C73*$C209*D$124</f>
        <v>0</v>
      </c>
      <c r="E209" s="97">
        <f t="shared" si="68"/>
        <v>0</v>
      </c>
      <c r="F209" s="97">
        <f t="shared" si="68"/>
        <v>0</v>
      </c>
      <c r="G209" s="97">
        <f t="shared" si="68"/>
        <v>0</v>
      </c>
      <c r="H209" s="97">
        <f t="shared" si="68"/>
        <v>0</v>
      </c>
      <c r="I209" s="97">
        <f t="shared" si="68"/>
        <v>0</v>
      </c>
      <c r="J209" s="97">
        <f t="shared" si="68"/>
        <v>0</v>
      </c>
      <c r="K209" s="92"/>
      <c r="L209" s="92"/>
      <c r="M209" s="92"/>
      <c r="N209" s="92"/>
      <c r="O209" s="92"/>
      <c r="P209" s="92"/>
      <c r="Q209" s="92"/>
      <c r="R209" s="92"/>
      <c r="S209" s="92"/>
      <c r="T209" s="92"/>
      <c r="U209" s="92"/>
      <c r="V209" s="92"/>
      <c r="W209" s="92"/>
    </row>
    <row r="210" spans="1:23" ht="14.25" customHeight="1">
      <c r="A210" s="56" t="str">
        <f t="shared" si="56"/>
        <v>Maize</v>
      </c>
      <c r="B210" s="56"/>
      <c r="C210" s="316">
        <v>25</v>
      </c>
      <c r="D210" s="97">
        <f t="shared" ref="D210:J210" si="69">C74*$C210*D$124</f>
        <v>0</v>
      </c>
      <c r="E210" s="97">
        <f t="shared" si="69"/>
        <v>0</v>
      </c>
      <c r="F210" s="97">
        <f t="shared" si="69"/>
        <v>0</v>
      </c>
      <c r="G210" s="97">
        <f t="shared" si="69"/>
        <v>0</v>
      </c>
      <c r="H210" s="97">
        <f t="shared" si="69"/>
        <v>0</v>
      </c>
      <c r="I210" s="97">
        <f t="shared" si="69"/>
        <v>0</v>
      </c>
      <c r="J210" s="97">
        <f t="shared" si="69"/>
        <v>0</v>
      </c>
      <c r="K210" s="92"/>
      <c r="L210" s="92"/>
      <c r="M210" s="92"/>
      <c r="N210" s="92"/>
      <c r="O210" s="92"/>
      <c r="P210" s="92"/>
      <c r="Q210" s="92"/>
      <c r="R210" s="92"/>
      <c r="S210" s="92"/>
      <c r="T210" s="92"/>
      <c r="U210" s="92"/>
      <c r="V210" s="92"/>
      <c r="W210" s="92"/>
    </row>
    <row r="211" spans="1:23" ht="14.25" customHeight="1">
      <c r="A211" s="56" t="str">
        <f t="shared" si="56"/>
        <v>Safflower</v>
      </c>
      <c r="B211" s="56"/>
      <c r="C211" s="316">
        <v>25</v>
      </c>
      <c r="D211" s="97">
        <f t="shared" ref="D211:J211" si="70">C75*$C211*D$124</f>
        <v>0</v>
      </c>
      <c r="E211" s="97">
        <f t="shared" si="70"/>
        <v>0</v>
      </c>
      <c r="F211" s="97">
        <f t="shared" si="70"/>
        <v>0</v>
      </c>
      <c r="G211" s="97">
        <f t="shared" si="70"/>
        <v>0</v>
      </c>
      <c r="H211" s="97">
        <f t="shared" si="70"/>
        <v>0</v>
      </c>
      <c r="I211" s="97">
        <f t="shared" si="70"/>
        <v>0</v>
      </c>
      <c r="J211" s="97">
        <f t="shared" si="70"/>
        <v>0</v>
      </c>
      <c r="K211" s="92"/>
      <c r="L211" s="92"/>
      <c r="M211" s="92"/>
      <c r="N211" s="92"/>
      <c r="O211" s="92"/>
      <c r="P211" s="92"/>
      <c r="Q211" s="92"/>
      <c r="R211" s="92"/>
      <c r="S211" s="92"/>
      <c r="T211" s="92"/>
      <c r="U211" s="92"/>
      <c r="V211" s="92"/>
      <c r="W211" s="92"/>
    </row>
    <row r="212" spans="1:23" ht="14.25" customHeight="1">
      <c r="A212" s="56">
        <f t="shared" si="56"/>
        <v>0</v>
      </c>
      <c r="B212" s="56"/>
      <c r="C212" s="316"/>
      <c r="D212" s="97">
        <f t="shared" ref="D212:J212" si="71">C76*$C212*D$124</f>
        <v>0</v>
      </c>
      <c r="E212" s="97">
        <f t="shared" si="71"/>
        <v>0</v>
      </c>
      <c r="F212" s="97">
        <f t="shared" si="71"/>
        <v>0</v>
      </c>
      <c r="G212" s="97">
        <f t="shared" si="71"/>
        <v>0</v>
      </c>
      <c r="H212" s="97">
        <f t="shared" si="71"/>
        <v>0</v>
      </c>
      <c r="I212" s="97">
        <f t="shared" si="71"/>
        <v>0</v>
      </c>
      <c r="J212" s="97">
        <f t="shared" si="71"/>
        <v>0</v>
      </c>
      <c r="K212" s="92"/>
      <c r="L212" s="92"/>
      <c r="M212" s="92"/>
      <c r="N212" s="92"/>
      <c r="O212" s="92"/>
      <c r="P212" s="92"/>
      <c r="Q212" s="92"/>
      <c r="R212" s="92"/>
      <c r="S212" s="92"/>
      <c r="T212" s="92"/>
      <c r="U212" s="92"/>
      <c r="V212" s="92"/>
      <c r="W212" s="92"/>
    </row>
    <row r="213" spans="1:23" ht="14.25" customHeight="1">
      <c r="A213" s="56">
        <f t="shared" si="56"/>
        <v>0</v>
      </c>
      <c r="B213" s="56"/>
      <c r="C213" s="316"/>
      <c r="D213" s="97">
        <f t="shared" ref="D213:J213" si="72">C77*$C213*D$124</f>
        <v>0</v>
      </c>
      <c r="E213" s="97">
        <f t="shared" si="72"/>
        <v>0</v>
      </c>
      <c r="F213" s="97">
        <f t="shared" si="72"/>
        <v>0</v>
      </c>
      <c r="G213" s="97">
        <f t="shared" si="72"/>
        <v>0</v>
      </c>
      <c r="H213" s="97">
        <f t="shared" si="72"/>
        <v>0</v>
      </c>
      <c r="I213" s="97">
        <f t="shared" si="72"/>
        <v>0</v>
      </c>
      <c r="J213" s="97">
        <f t="shared" si="72"/>
        <v>0</v>
      </c>
      <c r="K213" s="92"/>
      <c r="L213" s="92"/>
      <c r="M213" s="92"/>
      <c r="N213" s="92"/>
      <c r="O213" s="92"/>
      <c r="P213" s="92"/>
      <c r="Q213" s="92"/>
      <c r="R213" s="92"/>
      <c r="S213" s="92"/>
      <c r="T213" s="92"/>
      <c r="U213" s="92"/>
      <c r="V213" s="92"/>
      <c r="W213" s="92"/>
    </row>
    <row r="214" spans="1:23" ht="14.25" customHeight="1">
      <c r="A214" s="56">
        <f t="shared" si="56"/>
        <v>0</v>
      </c>
      <c r="B214" s="56"/>
      <c r="C214" s="316"/>
      <c r="D214" s="97">
        <f t="shared" ref="D214:J214" si="73">C78*$C214*D$124</f>
        <v>0</v>
      </c>
      <c r="E214" s="97">
        <f t="shared" si="73"/>
        <v>0</v>
      </c>
      <c r="F214" s="97">
        <f t="shared" si="73"/>
        <v>0</v>
      </c>
      <c r="G214" s="97">
        <f t="shared" si="73"/>
        <v>0</v>
      </c>
      <c r="H214" s="97">
        <f t="shared" si="73"/>
        <v>0</v>
      </c>
      <c r="I214" s="97">
        <f t="shared" si="73"/>
        <v>0</v>
      </c>
      <c r="J214" s="97">
        <f t="shared" si="73"/>
        <v>0</v>
      </c>
      <c r="K214" s="92"/>
      <c r="L214" s="92"/>
      <c r="M214" s="92"/>
      <c r="N214" s="92"/>
      <c r="O214" s="92"/>
      <c r="P214" s="92"/>
      <c r="Q214" s="92"/>
      <c r="R214" s="92"/>
      <c r="S214" s="92"/>
      <c r="T214" s="92"/>
      <c r="U214" s="92"/>
      <c r="V214" s="92"/>
      <c r="W214" s="92"/>
    </row>
    <row r="215" spans="1:23" ht="14.25" customHeight="1">
      <c r="A215" s="56" t="str">
        <f t="shared" si="56"/>
        <v>Summer</v>
      </c>
      <c r="B215" s="56"/>
      <c r="C215" s="316"/>
      <c r="D215" s="97">
        <f t="shared" ref="D215:J215" si="74">C79*$C215*D$124</f>
        <v>0</v>
      </c>
      <c r="E215" s="97">
        <f t="shared" si="74"/>
        <v>0</v>
      </c>
      <c r="F215" s="97">
        <f t="shared" si="74"/>
        <v>0</v>
      </c>
      <c r="G215" s="97">
        <f t="shared" si="74"/>
        <v>0</v>
      </c>
      <c r="H215" s="97">
        <f t="shared" si="74"/>
        <v>0</v>
      </c>
      <c r="I215" s="97">
        <f t="shared" si="74"/>
        <v>0</v>
      </c>
      <c r="J215" s="97">
        <f t="shared" si="74"/>
        <v>0</v>
      </c>
      <c r="K215" s="92"/>
      <c r="L215" s="92"/>
      <c r="M215" s="92"/>
      <c r="N215" s="92"/>
      <c r="O215" s="92"/>
      <c r="P215" s="92"/>
      <c r="Q215" s="92"/>
      <c r="R215" s="92"/>
      <c r="S215" s="92"/>
      <c r="T215" s="92"/>
      <c r="U215" s="92"/>
      <c r="V215" s="92"/>
      <c r="W215" s="92"/>
    </row>
    <row r="216" spans="1:23" ht="14.25" customHeight="1">
      <c r="A216" s="56" t="str">
        <f t="shared" si="56"/>
        <v>Groundnut</v>
      </c>
      <c r="B216" s="56"/>
      <c r="C216" s="316"/>
      <c r="D216" s="97">
        <f t="shared" ref="D216:J216" si="75">C80*$C216*D$124</f>
        <v>0</v>
      </c>
      <c r="E216" s="97">
        <f t="shared" si="75"/>
        <v>0</v>
      </c>
      <c r="F216" s="97">
        <f t="shared" si="75"/>
        <v>0</v>
      </c>
      <c r="G216" s="97">
        <f t="shared" si="75"/>
        <v>0</v>
      </c>
      <c r="H216" s="97">
        <f t="shared" si="75"/>
        <v>0</v>
      </c>
      <c r="I216" s="97">
        <f t="shared" si="75"/>
        <v>0</v>
      </c>
      <c r="J216" s="97">
        <f t="shared" si="75"/>
        <v>0</v>
      </c>
      <c r="K216" s="92"/>
      <c r="L216" s="92"/>
      <c r="M216" s="92"/>
      <c r="N216" s="92"/>
      <c r="O216" s="92"/>
      <c r="P216" s="92"/>
      <c r="Q216" s="92"/>
      <c r="R216" s="92"/>
      <c r="S216" s="92"/>
      <c r="T216" s="92"/>
      <c r="U216" s="92"/>
      <c r="V216" s="92"/>
      <c r="W216" s="92"/>
    </row>
    <row r="217" spans="1:23" ht="14.25" customHeight="1">
      <c r="A217" s="56">
        <f t="shared" si="56"/>
        <v>0</v>
      </c>
      <c r="B217" s="56"/>
      <c r="C217" s="316"/>
      <c r="D217" s="97">
        <f t="shared" ref="D217:J217" si="76">C81*$C217*D$124</f>
        <v>0</v>
      </c>
      <c r="E217" s="97">
        <f t="shared" si="76"/>
        <v>0</v>
      </c>
      <c r="F217" s="97">
        <f t="shared" si="76"/>
        <v>0</v>
      </c>
      <c r="G217" s="97">
        <f t="shared" si="76"/>
        <v>0</v>
      </c>
      <c r="H217" s="97">
        <f t="shared" si="76"/>
        <v>0</v>
      </c>
      <c r="I217" s="97">
        <f t="shared" si="76"/>
        <v>0</v>
      </c>
      <c r="J217" s="97">
        <f t="shared" si="76"/>
        <v>0</v>
      </c>
      <c r="K217" s="92"/>
      <c r="L217" s="92"/>
      <c r="M217" s="92"/>
      <c r="N217" s="92"/>
      <c r="O217" s="92"/>
      <c r="P217" s="92"/>
      <c r="Q217" s="92"/>
      <c r="R217" s="92"/>
      <c r="S217" s="92"/>
      <c r="T217" s="92"/>
      <c r="U217" s="92"/>
      <c r="V217" s="92"/>
      <c r="W217" s="92"/>
    </row>
    <row r="218" spans="1:23" ht="14.25" customHeight="1">
      <c r="A218" s="56">
        <f t="shared" si="56"/>
        <v>0</v>
      </c>
      <c r="B218" s="56"/>
      <c r="C218" s="316"/>
      <c r="D218" s="97">
        <f t="shared" ref="D218:J218" si="77">C82*$C218*D$124</f>
        <v>0</v>
      </c>
      <c r="E218" s="97">
        <f t="shared" si="77"/>
        <v>0</v>
      </c>
      <c r="F218" s="97">
        <f t="shared" si="77"/>
        <v>0</v>
      </c>
      <c r="G218" s="97">
        <f t="shared" si="77"/>
        <v>0</v>
      </c>
      <c r="H218" s="97">
        <f t="shared" si="77"/>
        <v>0</v>
      </c>
      <c r="I218" s="97">
        <f t="shared" si="77"/>
        <v>0</v>
      </c>
      <c r="J218" s="97">
        <f t="shared" si="77"/>
        <v>0</v>
      </c>
      <c r="K218" s="92"/>
      <c r="L218" s="92"/>
      <c r="M218" s="92"/>
      <c r="N218" s="92"/>
      <c r="O218" s="92"/>
      <c r="P218" s="92"/>
      <c r="Q218" s="92"/>
      <c r="R218" s="92"/>
      <c r="S218" s="92"/>
      <c r="T218" s="92"/>
      <c r="U218" s="92"/>
      <c r="V218" s="92"/>
      <c r="W218" s="92"/>
    </row>
    <row r="219" spans="1:23" ht="14.25" customHeight="1">
      <c r="A219" s="56">
        <f t="shared" si="56"/>
        <v>0</v>
      </c>
      <c r="B219" s="56"/>
      <c r="C219" s="316"/>
      <c r="D219" s="97">
        <f t="shared" ref="D219:J219" si="78">C83*$C219*D$124</f>
        <v>0</v>
      </c>
      <c r="E219" s="97">
        <f t="shared" si="78"/>
        <v>0</v>
      </c>
      <c r="F219" s="97">
        <f t="shared" si="78"/>
        <v>0</v>
      </c>
      <c r="G219" s="97">
        <f t="shared" si="78"/>
        <v>0</v>
      </c>
      <c r="H219" s="97">
        <f t="shared" si="78"/>
        <v>0</v>
      </c>
      <c r="I219" s="97">
        <f t="shared" si="78"/>
        <v>0</v>
      </c>
      <c r="J219" s="97">
        <f t="shared" si="78"/>
        <v>0</v>
      </c>
      <c r="K219" s="92"/>
      <c r="L219" s="92"/>
      <c r="M219" s="92"/>
      <c r="N219" s="92"/>
      <c r="O219" s="92"/>
      <c r="P219" s="92"/>
      <c r="Q219" s="92"/>
      <c r="R219" s="92"/>
      <c r="S219" s="92"/>
      <c r="T219" s="92"/>
      <c r="U219" s="92"/>
      <c r="V219" s="92"/>
      <c r="W219" s="92"/>
    </row>
    <row r="220" spans="1:23" ht="14.25" customHeight="1">
      <c r="A220" s="56">
        <f t="shared" si="56"/>
        <v>0</v>
      </c>
      <c r="B220" s="56"/>
      <c r="C220" s="316"/>
      <c r="D220" s="97">
        <f t="shared" ref="D220:J220" si="79">C84*$C220*D$124</f>
        <v>0</v>
      </c>
      <c r="E220" s="97">
        <f t="shared" si="79"/>
        <v>0</v>
      </c>
      <c r="F220" s="97">
        <f t="shared" si="79"/>
        <v>0</v>
      </c>
      <c r="G220" s="97">
        <f t="shared" si="79"/>
        <v>0</v>
      </c>
      <c r="H220" s="97">
        <f t="shared" si="79"/>
        <v>0</v>
      </c>
      <c r="I220" s="97">
        <f t="shared" si="79"/>
        <v>0</v>
      </c>
      <c r="J220" s="97">
        <f t="shared" si="79"/>
        <v>0</v>
      </c>
      <c r="K220" s="92"/>
      <c r="L220" s="92"/>
      <c r="M220" s="92"/>
      <c r="N220" s="92"/>
      <c r="O220" s="92"/>
      <c r="P220" s="92"/>
      <c r="Q220" s="92"/>
      <c r="R220" s="92"/>
      <c r="S220" s="92"/>
      <c r="T220" s="92"/>
      <c r="U220" s="92"/>
      <c r="V220" s="92"/>
      <c r="W220" s="92"/>
    </row>
    <row r="221" spans="1:23" ht="14.25" customHeight="1">
      <c r="A221" s="56" t="str">
        <f t="shared" si="56"/>
        <v>Fruit  &amp; Vegetables Crop Production Details</v>
      </c>
      <c r="B221" s="56"/>
      <c r="C221" s="97"/>
      <c r="D221" s="97"/>
      <c r="E221" s="97"/>
      <c r="F221" s="97"/>
      <c r="G221" s="97"/>
      <c r="H221" s="97"/>
      <c r="I221" s="97"/>
      <c r="J221" s="97"/>
      <c r="K221" s="92"/>
      <c r="L221" s="92"/>
      <c r="M221" s="92"/>
      <c r="N221" s="92"/>
      <c r="O221" s="92"/>
      <c r="P221" s="92"/>
      <c r="Q221" s="92"/>
      <c r="R221" s="92"/>
      <c r="S221" s="92"/>
      <c r="T221" s="92"/>
      <c r="U221" s="92"/>
      <c r="V221" s="92"/>
      <c r="W221" s="92"/>
    </row>
    <row r="222" spans="1:23" ht="14.25" customHeight="1">
      <c r="A222" s="56" t="str">
        <f t="shared" si="56"/>
        <v>Onion</v>
      </c>
      <c r="B222" s="56"/>
      <c r="C222" s="316"/>
      <c r="D222" s="97">
        <f t="shared" ref="D222:J222" si="80">C86*$C222*D$124</f>
        <v>0</v>
      </c>
      <c r="E222" s="97">
        <f t="shared" si="80"/>
        <v>0</v>
      </c>
      <c r="F222" s="97">
        <f t="shared" si="80"/>
        <v>0</v>
      </c>
      <c r="G222" s="97">
        <f t="shared" si="80"/>
        <v>0</v>
      </c>
      <c r="H222" s="97">
        <f t="shared" si="80"/>
        <v>0</v>
      </c>
      <c r="I222" s="97">
        <f t="shared" si="80"/>
        <v>0</v>
      </c>
      <c r="J222" s="97">
        <f t="shared" si="80"/>
        <v>0</v>
      </c>
      <c r="K222" s="92"/>
      <c r="L222" s="92"/>
      <c r="M222" s="92"/>
      <c r="N222" s="92"/>
      <c r="O222" s="92"/>
      <c r="P222" s="92"/>
      <c r="Q222" s="92"/>
      <c r="R222" s="92"/>
      <c r="S222" s="92"/>
      <c r="T222" s="92"/>
      <c r="U222" s="92"/>
      <c r="V222" s="92"/>
      <c r="W222" s="92"/>
    </row>
    <row r="223" spans="1:23" ht="14.25" customHeight="1">
      <c r="A223" s="56" t="str">
        <f t="shared" si="56"/>
        <v>Tomato</v>
      </c>
      <c r="B223" s="56"/>
      <c r="C223" s="316"/>
      <c r="D223" s="97">
        <f t="shared" ref="D223:J223" si="81">C87*$C223*D$124</f>
        <v>0</v>
      </c>
      <c r="E223" s="97">
        <f t="shared" si="81"/>
        <v>0</v>
      </c>
      <c r="F223" s="97">
        <f t="shared" si="81"/>
        <v>0</v>
      </c>
      <c r="G223" s="97">
        <f t="shared" si="81"/>
        <v>0</v>
      </c>
      <c r="H223" s="97">
        <f t="shared" si="81"/>
        <v>0</v>
      </c>
      <c r="I223" s="97">
        <f t="shared" si="81"/>
        <v>0</v>
      </c>
      <c r="J223" s="97">
        <f t="shared" si="81"/>
        <v>0</v>
      </c>
      <c r="K223" s="92"/>
      <c r="L223" s="92"/>
      <c r="M223" s="92"/>
      <c r="N223" s="92"/>
      <c r="O223" s="92"/>
      <c r="P223" s="92"/>
      <c r="Q223" s="92"/>
      <c r="R223" s="92"/>
      <c r="S223" s="92"/>
      <c r="T223" s="92"/>
      <c r="U223" s="92"/>
      <c r="V223" s="92"/>
      <c r="W223" s="92"/>
    </row>
    <row r="224" spans="1:23" ht="14.25" customHeight="1">
      <c r="A224" s="56" t="str">
        <f t="shared" si="56"/>
        <v>Okra</v>
      </c>
      <c r="B224" s="56"/>
      <c r="C224" s="316"/>
      <c r="D224" s="97">
        <f t="shared" ref="D224:J224" si="82">C88*$C224*D$124</f>
        <v>0</v>
      </c>
      <c r="E224" s="97">
        <f t="shared" si="82"/>
        <v>0</v>
      </c>
      <c r="F224" s="97">
        <f t="shared" si="82"/>
        <v>0</v>
      </c>
      <c r="G224" s="97">
        <f t="shared" si="82"/>
        <v>0</v>
      </c>
      <c r="H224" s="97">
        <f t="shared" si="82"/>
        <v>0</v>
      </c>
      <c r="I224" s="97">
        <f t="shared" si="82"/>
        <v>0</v>
      </c>
      <c r="J224" s="97">
        <f t="shared" si="82"/>
        <v>0</v>
      </c>
      <c r="K224" s="92"/>
      <c r="L224" s="92"/>
      <c r="M224" s="92"/>
      <c r="N224" s="92"/>
      <c r="O224" s="92"/>
      <c r="P224" s="92"/>
      <c r="Q224" s="92"/>
      <c r="R224" s="92"/>
      <c r="S224" s="92"/>
      <c r="T224" s="92"/>
      <c r="U224" s="92"/>
      <c r="V224" s="92"/>
      <c r="W224" s="92"/>
    </row>
    <row r="225" spans="1:23" ht="14.25" customHeight="1">
      <c r="A225" s="56" t="str">
        <f t="shared" si="56"/>
        <v>Chilli</v>
      </c>
      <c r="B225" s="56"/>
      <c r="C225" s="316"/>
      <c r="D225" s="97">
        <f t="shared" ref="D225:J225" si="83">C89*$C225*D$124</f>
        <v>0</v>
      </c>
      <c r="E225" s="97">
        <f t="shared" si="83"/>
        <v>0</v>
      </c>
      <c r="F225" s="97">
        <f t="shared" si="83"/>
        <v>0</v>
      </c>
      <c r="G225" s="97">
        <f t="shared" si="83"/>
        <v>0</v>
      </c>
      <c r="H225" s="97">
        <f t="shared" si="83"/>
        <v>0</v>
      </c>
      <c r="I225" s="97">
        <f t="shared" si="83"/>
        <v>0</v>
      </c>
      <c r="J225" s="97">
        <f t="shared" si="83"/>
        <v>0</v>
      </c>
      <c r="K225" s="92"/>
      <c r="L225" s="92"/>
      <c r="M225" s="92"/>
      <c r="N225" s="92"/>
      <c r="O225" s="92"/>
      <c r="P225" s="92"/>
      <c r="Q225" s="92"/>
      <c r="R225" s="92"/>
      <c r="S225" s="92"/>
      <c r="T225" s="92"/>
      <c r="U225" s="92"/>
      <c r="V225" s="92"/>
      <c r="W225" s="92"/>
    </row>
    <row r="226" spans="1:23" ht="14.25" customHeight="1">
      <c r="A226" s="56" t="str">
        <f t="shared" si="56"/>
        <v>Potato</v>
      </c>
      <c r="B226" s="56"/>
      <c r="C226" s="316"/>
      <c r="D226" s="97">
        <f t="shared" ref="D226:J226" si="84">C90*$C226*D$124</f>
        <v>0</v>
      </c>
      <c r="E226" s="97">
        <f t="shared" si="84"/>
        <v>0</v>
      </c>
      <c r="F226" s="97">
        <f t="shared" si="84"/>
        <v>0</v>
      </c>
      <c r="G226" s="97">
        <f t="shared" si="84"/>
        <v>0</v>
      </c>
      <c r="H226" s="97">
        <f t="shared" si="84"/>
        <v>0</v>
      </c>
      <c r="I226" s="97">
        <f t="shared" si="84"/>
        <v>0</v>
      </c>
      <c r="J226" s="97">
        <f t="shared" si="84"/>
        <v>0</v>
      </c>
      <c r="K226" s="92"/>
      <c r="L226" s="92"/>
      <c r="M226" s="92"/>
      <c r="N226" s="92"/>
      <c r="O226" s="92"/>
      <c r="P226" s="92"/>
      <c r="Q226" s="92"/>
      <c r="R226" s="92"/>
      <c r="S226" s="92"/>
      <c r="T226" s="92"/>
      <c r="U226" s="92"/>
      <c r="V226" s="92"/>
      <c r="W226" s="92"/>
    </row>
    <row r="227" spans="1:23" ht="14.25" customHeight="1">
      <c r="A227" s="56">
        <f t="shared" si="56"/>
        <v>0</v>
      </c>
      <c r="B227" s="56"/>
      <c r="C227" s="316"/>
      <c r="D227" s="97">
        <f t="shared" ref="D227:J227" si="85">C91*$C227*D$124</f>
        <v>0</v>
      </c>
      <c r="E227" s="97">
        <f t="shared" si="85"/>
        <v>0</v>
      </c>
      <c r="F227" s="97">
        <f t="shared" si="85"/>
        <v>0</v>
      </c>
      <c r="G227" s="97">
        <f t="shared" si="85"/>
        <v>0</v>
      </c>
      <c r="H227" s="97">
        <f t="shared" si="85"/>
        <v>0</v>
      </c>
      <c r="I227" s="97">
        <f t="shared" si="85"/>
        <v>0</v>
      </c>
      <c r="J227" s="97">
        <f t="shared" si="85"/>
        <v>0</v>
      </c>
      <c r="K227" s="92"/>
      <c r="L227" s="92"/>
      <c r="M227" s="92"/>
      <c r="N227" s="92"/>
      <c r="O227" s="92"/>
      <c r="P227" s="92"/>
      <c r="Q227" s="92"/>
      <c r="R227" s="92"/>
      <c r="S227" s="92"/>
      <c r="T227" s="92"/>
      <c r="U227" s="92"/>
      <c r="V227" s="92"/>
      <c r="W227" s="92"/>
    </row>
    <row r="228" spans="1:23" ht="14.25" customHeight="1">
      <c r="A228" s="56">
        <f t="shared" si="56"/>
        <v>0</v>
      </c>
      <c r="B228" s="56"/>
      <c r="C228" s="316"/>
      <c r="D228" s="97">
        <f t="shared" ref="D228:J228" si="86">C92*$C228*D$124</f>
        <v>0</v>
      </c>
      <c r="E228" s="97">
        <f t="shared" si="86"/>
        <v>0</v>
      </c>
      <c r="F228" s="97">
        <f t="shared" si="86"/>
        <v>0</v>
      </c>
      <c r="G228" s="97">
        <f t="shared" si="86"/>
        <v>0</v>
      </c>
      <c r="H228" s="97">
        <f t="shared" si="86"/>
        <v>0</v>
      </c>
      <c r="I228" s="97">
        <f t="shared" si="86"/>
        <v>0</v>
      </c>
      <c r="J228" s="97">
        <f t="shared" si="86"/>
        <v>0</v>
      </c>
      <c r="K228" s="92"/>
      <c r="L228" s="92"/>
      <c r="M228" s="92"/>
      <c r="N228" s="92"/>
      <c r="O228" s="92"/>
      <c r="P228" s="92"/>
      <c r="Q228" s="92"/>
      <c r="R228" s="92"/>
      <c r="S228" s="92"/>
      <c r="T228" s="92"/>
      <c r="U228" s="92"/>
      <c r="V228" s="92"/>
      <c r="W228" s="92"/>
    </row>
    <row r="229" spans="1:23" ht="14.25" customHeight="1">
      <c r="A229" s="56">
        <f t="shared" si="56"/>
        <v>0</v>
      </c>
      <c r="B229" s="56"/>
      <c r="C229" s="316"/>
      <c r="D229" s="97">
        <f t="shared" ref="D229:J229" si="87">C93*$C229*D$124</f>
        <v>0</v>
      </c>
      <c r="E229" s="97">
        <f t="shared" si="87"/>
        <v>0</v>
      </c>
      <c r="F229" s="97">
        <f t="shared" si="87"/>
        <v>0</v>
      </c>
      <c r="G229" s="97">
        <f t="shared" si="87"/>
        <v>0</v>
      </c>
      <c r="H229" s="97">
        <f t="shared" si="87"/>
        <v>0</v>
      </c>
      <c r="I229" s="97">
        <f t="shared" si="87"/>
        <v>0</v>
      </c>
      <c r="J229" s="97">
        <f t="shared" si="87"/>
        <v>0</v>
      </c>
      <c r="K229" s="92"/>
      <c r="L229" s="92"/>
      <c r="M229" s="92"/>
      <c r="N229" s="92"/>
      <c r="O229" s="92"/>
      <c r="P229" s="92"/>
      <c r="Q229" s="92"/>
      <c r="R229" s="92"/>
      <c r="S229" s="92"/>
      <c r="T229" s="92"/>
      <c r="U229" s="92"/>
      <c r="V229" s="92"/>
      <c r="W229" s="92"/>
    </row>
    <row r="230" spans="1:23" ht="14.25" customHeight="1">
      <c r="A230" s="56">
        <f t="shared" si="56"/>
        <v>0</v>
      </c>
      <c r="B230" s="56"/>
      <c r="C230" s="316"/>
      <c r="D230" s="97">
        <f t="shared" ref="D230:J230" si="88">C94*$C230*D$124</f>
        <v>0</v>
      </c>
      <c r="E230" s="97">
        <f t="shared" si="88"/>
        <v>0</v>
      </c>
      <c r="F230" s="97">
        <f t="shared" si="88"/>
        <v>0</v>
      </c>
      <c r="G230" s="97">
        <f t="shared" si="88"/>
        <v>0</v>
      </c>
      <c r="H230" s="97">
        <f t="shared" si="88"/>
        <v>0</v>
      </c>
      <c r="I230" s="97">
        <f t="shared" si="88"/>
        <v>0</v>
      </c>
      <c r="J230" s="97">
        <f t="shared" si="88"/>
        <v>0</v>
      </c>
      <c r="K230" s="92"/>
      <c r="L230" s="92"/>
      <c r="M230" s="92"/>
      <c r="N230" s="92"/>
      <c r="O230" s="92"/>
      <c r="P230" s="92"/>
      <c r="Q230" s="92"/>
      <c r="R230" s="92"/>
      <c r="S230" s="92"/>
      <c r="T230" s="92"/>
      <c r="U230" s="92"/>
      <c r="V230" s="92"/>
      <c r="W230" s="92"/>
    </row>
    <row r="231" spans="1:23" ht="14.25" customHeight="1">
      <c r="A231" s="56" t="str">
        <f t="shared" si="56"/>
        <v>Onion</v>
      </c>
      <c r="B231" s="56"/>
      <c r="C231" s="316"/>
      <c r="D231" s="97">
        <f t="shared" ref="D231:J231" si="89">C95*$C231*D$124</f>
        <v>0</v>
      </c>
      <c r="E231" s="97">
        <f t="shared" si="89"/>
        <v>0</v>
      </c>
      <c r="F231" s="97">
        <f t="shared" si="89"/>
        <v>0</v>
      </c>
      <c r="G231" s="97">
        <f t="shared" si="89"/>
        <v>0</v>
      </c>
      <c r="H231" s="97">
        <f t="shared" si="89"/>
        <v>0</v>
      </c>
      <c r="I231" s="97">
        <f t="shared" si="89"/>
        <v>0</v>
      </c>
      <c r="J231" s="97">
        <f t="shared" si="89"/>
        <v>0</v>
      </c>
      <c r="K231" s="92"/>
      <c r="L231" s="92"/>
      <c r="M231" s="92"/>
      <c r="N231" s="92"/>
      <c r="O231" s="92"/>
      <c r="P231" s="92"/>
      <c r="Q231" s="92"/>
      <c r="R231" s="92"/>
      <c r="S231" s="92"/>
      <c r="T231" s="92"/>
      <c r="U231" s="92"/>
      <c r="V231" s="92"/>
      <c r="W231" s="92"/>
    </row>
    <row r="232" spans="1:23" ht="14.25" customHeight="1">
      <c r="A232" s="56" t="str">
        <f t="shared" si="56"/>
        <v>Tomato</v>
      </c>
      <c r="B232" s="56"/>
      <c r="C232" s="316"/>
      <c r="D232" s="97">
        <f t="shared" ref="D232:J232" si="90">C96*$C232*D$124</f>
        <v>0</v>
      </c>
      <c r="E232" s="97">
        <f t="shared" si="90"/>
        <v>0</v>
      </c>
      <c r="F232" s="97">
        <f t="shared" si="90"/>
        <v>0</v>
      </c>
      <c r="G232" s="97">
        <f t="shared" si="90"/>
        <v>0</v>
      </c>
      <c r="H232" s="97">
        <f t="shared" si="90"/>
        <v>0</v>
      </c>
      <c r="I232" s="97">
        <f t="shared" si="90"/>
        <v>0</v>
      </c>
      <c r="J232" s="97">
        <f t="shared" si="90"/>
        <v>0</v>
      </c>
      <c r="K232" s="92"/>
      <c r="L232" s="92"/>
      <c r="M232" s="92"/>
      <c r="N232" s="92"/>
      <c r="O232" s="92"/>
      <c r="P232" s="92"/>
      <c r="Q232" s="92"/>
      <c r="R232" s="92"/>
      <c r="S232" s="92"/>
      <c r="T232" s="92"/>
      <c r="U232" s="92"/>
      <c r="V232" s="92"/>
      <c r="W232" s="92"/>
    </row>
    <row r="233" spans="1:23" ht="14.25" customHeight="1">
      <c r="A233" s="56" t="str">
        <f t="shared" si="56"/>
        <v>Okra</v>
      </c>
      <c r="B233" s="56"/>
      <c r="C233" s="316"/>
      <c r="D233" s="97">
        <f t="shared" ref="D233:J233" si="91">C97*$C233*D$124</f>
        <v>0</v>
      </c>
      <c r="E233" s="97">
        <f t="shared" si="91"/>
        <v>0</v>
      </c>
      <c r="F233" s="97">
        <f t="shared" si="91"/>
        <v>0</v>
      </c>
      <c r="G233" s="97">
        <f t="shared" si="91"/>
        <v>0</v>
      </c>
      <c r="H233" s="97">
        <f t="shared" si="91"/>
        <v>0</v>
      </c>
      <c r="I233" s="97">
        <f t="shared" si="91"/>
        <v>0</v>
      </c>
      <c r="J233" s="97">
        <f t="shared" si="91"/>
        <v>0</v>
      </c>
      <c r="K233" s="92"/>
      <c r="L233" s="92"/>
      <c r="M233" s="92"/>
      <c r="N233" s="92"/>
      <c r="O233" s="92"/>
      <c r="P233" s="92"/>
      <c r="Q233" s="92"/>
      <c r="R233" s="92"/>
      <c r="S233" s="92"/>
      <c r="T233" s="92"/>
      <c r="U233" s="92"/>
      <c r="V233" s="92"/>
      <c r="W233" s="92"/>
    </row>
    <row r="234" spans="1:23" ht="14.25" customHeight="1">
      <c r="A234" s="56" t="str">
        <f t="shared" si="56"/>
        <v>Chilli</v>
      </c>
      <c r="B234" s="56"/>
      <c r="C234" s="316"/>
      <c r="D234" s="97">
        <f t="shared" ref="D234:J234" si="92">C98*$C234*D$124</f>
        <v>0</v>
      </c>
      <c r="E234" s="97">
        <f t="shared" si="92"/>
        <v>0</v>
      </c>
      <c r="F234" s="97">
        <f t="shared" si="92"/>
        <v>0</v>
      </c>
      <c r="G234" s="97">
        <f t="shared" si="92"/>
        <v>0</v>
      </c>
      <c r="H234" s="97">
        <f t="shared" si="92"/>
        <v>0</v>
      </c>
      <c r="I234" s="97">
        <f t="shared" si="92"/>
        <v>0</v>
      </c>
      <c r="J234" s="97">
        <f t="shared" si="92"/>
        <v>0</v>
      </c>
      <c r="K234" s="92"/>
      <c r="L234" s="92"/>
      <c r="M234" s="92"/>
      <c r="N234" s="92"/>
      <c r="O234" s="92"/>
      <c r="P234" s="92"/>
      <c r="Q234" s="92"/>
      <c r="R234" s="92"/>
      <c r="S234" s="92"/>
      <c r="T234" s="92"/>
      <c r="U234" s="92"/>
      <c r="V234" s="92"/>
      <c r="W234" s="92"/>
    </row>
    <row r="235" spans="1:23" ht="14.25" customHeight="1">
      <c r="A235" s="56" t="str">
        <f t="shared" si="56"/>
        <v>Brinjal</v>
      </c>
      <c r="B235" s="56"/>
      <c r="C235" s="316"/>
      <c r="D235" s="97">
        <f t="shared" ref="D235:J235" si="93">C99*$C235*D$124</f>
        <v>0</v>
      </c>
      <c r="E235" s="97">
        <f t="shared" si="93"/>
        <v>0</v>
      </c>
      <c r="F235" s="97">
        <f t="shared" si="93"/>
        <v>0</v>
      </c>
      <c r="G235" s="97">
        <f t="shared" si="93"/>
        <v>0</v>
      </c>
      <c r="H235" s="97">
        <f t="shared" si="93"/>
        <v>0</v>
      </c>
      <c r="I235" s="97">
        <f t="shared" si="93"/>
        <v>0</v>
      </c>
      <c r="J235" s="97">
        <f t="shared" si="93"/>
        <v>0</v>
      </c>
      <c r="K235" s="92"/>
      <c r="L235" s="92"/>
      <c r="M235" s="92"/>
      <c r="N235" s="92"/>
      <c r="O235" s="92"/>
      <c r="P235" s="92"/>
      <c r="Q235" s="92"/>
      <c r="R235" s="92"/>
      <c r="S235" s="92"/>
      <c r="T235" s="92"/>
      <c r="U235" s="92"/>
      <c r="V235" s="92"/>
      <c r="W235" s="92"/>
    </row>
    <row r="236" spans="1:23" ht="14.25" customHeight="1">
      <c r="A236" s="56">
        <f t="shared" si="56"/>
        <v>0</v>
      </c>
      <c r="B236" s="56"/>
      <c r="C236" s="316"/>
      <c r="D236" s="97">
        <f t="shared" ref="D236:J236" si="94">C100*$C236*D$124</f>
        <v>0</v>
      </c>
      <c r="E236" s="97">
        <f t="shared" si="94"/>
        <v>0</v>
      </c>
      <c r="F236" s="97">
        <f t="shared" si="94"/>
        <v>0</v>
      </c>
      <c r="G236" s="97">
        <f t="shared" si="94"/>
        <v>0</v>
      </c>
      <c r="H236" s="97">
        <f t="shared" si="94"/>
        <v>0</v>
      </c>
      <c r="I236" s="97">
        <f t="shared" si="94"/>
        <v>0</v>
      </c>
      <c r="J236" s="97">
        <f t="shared" si="94"/>
        <v>0</v>
      </c>
      <c r="K236" s="92"/>
      <c r="L236" s="92"/>
      <c r="M236" s="92"/>
      <c r="N236" s="92"/>
      <c r="O236" s="92"/>
      <c r="P236" s="92"/>
      <c r="Q236" s="92"/>
      <c r="R236" s="92"/>
      <c r="S236" s="92"/>
      <c r="T236" s="92"/>
      <c r="U236" s="92"/>
      <c r="V236" s="92"/>
      <c r="W236" s="92"/>
    </row>
    <row r="237" spans="1:23" ht="14.25" customHeight="1">
      <c r="A237" s="56">
        <f t="shared" si="56"/>
        <v>0</v>
      </c>
      <c r="B237" s="56"/>
      <c r="C237" s="316"/>
      <c r="D237" s="97">
        <f t="shared" ref="D237:J237" si="95">C101*$C237*D$124</f>
        <v>0</v>
      </c>
      <c r="E237" s="97">
        <f t="shared" si="95"/>
        <v>0</v>
      </c>
      <c r="F237" s="97">
        <f t="shared" si="95"/>
        <v>0</v>
      </c>
      <c r="G237" s="97">
        <f t="shared" si="95"/>
        <v>0</v>
      </c>
      <c r="H237" s="97">
        <f t="shared" si="95"/>
        <v>0</v>
      </c>
      <c r="I237" s="97">
        <f t="shared" si="95"/>
        <v>0</v>
      </c>
      <c r="J237" s="97">
        <f t="shared" si="95"/>
        <v>0</v>
      </c>
      <c r="K237" s="92"/>
      <c r="L237" s="92"/>
      <c r="M237" s="92"/>
      <c r="N237" s="92"/>
      <c r="O237" s="92"/>
      <c r="P237" s="92"/>
      <c r="Q237" s="92"/>
      <c r="R237" s="92"/>
      <c r="S237" s="92"/>
      <c r="T237" s="92"/>
      <c r="U237" s="92"/>
      <c r="V237" s="92"/>
      <c r="W237" s="92"/>
    </row>
    <row r="238" spans="1:23" ht="14.25" customHeight="1">
      <c r="A238" s="56">
        <f t="shared" si="56"/>
        <v>0</v>
      </c>
      <c r="B238" s="56"/>
      <c r="C238" s="316"/>
      <c r="D238" s="97">
        <f t="shared" ref="D238:J238" si="96">C102*$C238*D$124</f>
        <v>0</v>
      </c>
      <c r="E238" s="97">
        <f t="shared" si="96"/>
        <v>0</v>
      </c>
      <c r="F238" s="97">
        <f t="shared" si="96"/>
        <v>0</v>
      </c>
      <c r="G238" s="97">
        <f t="shared" si="96"/>
        <v>0</v>
      </c>
      <c r="H238" s="97">
        <f t="shared" si="96"/>
        <v>0</v>
      </c>
      <c r="I238" s="97">
        <f t="shared" si="96"/>
        <v>0</v>
      </c>
      <c r="J238" s="97">
        <f t="shared" si="96"/>
        <v>0</v>
      </c>
      <c r="K238" s="92"/>
      <c r="L238" s="92"/>
      <c r="M238" s="92"/>
      <c r="N238" s="92"/>
      <c r="O238" s="92"/>
      <c r="P238" s="92"/>
      <c r="Q238" s="92"/>
      <c r="R238" s="92"/>
      <c r="S238" s="92"/>
      <c r="T238" s="92"/>
      <c r="U238" s="92"/>
      <c r="V238" s="92"/>
      <c r="W238" s="92"/>
    </row>
    <row r="239" spans="1:23" ht="14.25" customHeight="1">
      <c r="A239" s="56">
        <f t="shared" si="56"/>
        <v>0</v>
      </c>
      <c r="B239" s="56"/>
      <c r="C239" s="316"/>
      <c r="D239" s="97">
        <f t="shared" ref="D239:J239" si="97">C103*$C239*D$124</f>
        <v>0</v>
      </c>
      <c r="E239" s="97">
        <f t="shared" si="97"/>
        <v>0</v>
      </c>
      <c r="F239" s="97">
        <f t="shared" si="97"/>
        <v>0</v>
      </c>
      <c r="G239" s="97">
        <f t="shared" si="97"/>
        <v>0</v>
      </c>
      <c r="H239" s="97">
        <f t="shared" si="97"/>
        <v>0</v>
      </c>
      <c r="I239" s="97">
        <f t="shared" si="97"/>
        <v>0</v>
      </c>
      <c r="J239" s="97">
        <f t="shared" si="97"/>
        <v>0</v>
      </c>
      <c r="K239" s="92"/>
      <c r="L239" s="92"/>
      <c r="M239" s="92"/>
      <c r="N239" s="92"/>
      <c r="O239" s="92"/>
      <c r="P239" s="92"/>
      <c r="Q239" s="92"/>
      <c r="R239" s="92"/>
      <c r="S239" s="92"/>
      <c r="T239" s="92"/>
      <c r="U239" s="92"/>
      <c r="V239" s="92"/>
      <c r="W239" s="92"/>
    </row>
    <row r="240" spans="1:23" ht="14.25" customHeight="1">
      <c r="A240" s="56" t="str">
        <f t="shared" ref="A240:A244" si="98">A175</f>
        <v>Pomegranate</v>
      </c>
      <c r="B240" s="56"/>
      <c r="C240" s="316"/>
      <c r="D240" s="97">
        <f t="shared" ref="D240:J240" si="99">C107*$C240*D$124</f>
        <v>0</v>
      </c>
      <c r="E240" s="97">
        <f t="shared" si="99"/>
        <v>0</v>
      </c>
      <c r="F240" s="97">
        <f t="shared" si="99"/>
        <v>0</v>
      </c>
      <c r="G240" s="97">
        <f t="shared" si="99"/>
        <v>0</v>
      </c>
      <c r="H240" s="97">
        <f t="shared" si="99"/>
        <v>0</v>
      </c>
      <c r="I240" s="97">
        <f t="shared" si="99"/>
        <v>0</v>
      </c>
      <c r="J240" s="97">
        <f t="shared" si="99"/>
        <v>0</v>
      </c>
      <c r="K240" s="92"/>
      <c r="L240" s="92"/>
      <c r="M240" s="92"/>
      <c r="N240" s="92"/>
      <c r="O240" s="92"/>
      <c r="P240" s="92"/>
      <c r="Q240" s="92"/>
      <c r="R240" s="92"/>
      <c r="S240" s="92"/>
      <c r="T240" s="92"/>
      <c r="U240" s="92"/>
      <c r="V240" s="92"/>
      <c r="W240" s="92"/>
    </row>
    <row r="241" spans="1:23" ht="14.25" customHeight="1">
      <c r="A241" s="56" t="str">
        <f t="shared" si="98"/>
        <v>Custard Apple</v>
      </c>
      <c r="B241" s="56"/>
      <c r="C241" s="316"/>
      <c r="D241" s="97">
        <f t="shared" ref="D241:J241" si="100">C108*$C241*D$124</f>
        <v>0</v>
      </c>
      <c r="E241" s="97">
        <f t="shared" si="100"/>
        <v>0</v>
      </c>
      <c r="F241" s="97">
        <f t="shared" si="100"/>
        <v>0</v>
      </c>
      <c r="G241" s="97">
        <f t="shared" si="100"/>
        <v>0</v>
      </c>
      <c r="H241" s="97">
        <f t="shared" si="100"/>
        <v>0</v>
      </c>
      <c r="I241" s="97">
        <f t="shared" si="100"/>
        <v>0</v>
      </c>
      <c r="J241" s="97">
        <f t="shared" si="100"/>
        <v>0</v>
      </c>
      <c r="K241" s="92"/>
      <c r="L241" s="92"/>
      <c r="M241" s="92"/>
      <c r="N241" s="92"/>
      <c r="O241" s="92"/>
      <c r="P241" s="92"/>
      <c r="Q241" s="92"/>
      <c r="R241" s="92"/>
      <c r="S241" s="92"/>
      <c r="T241" s="92"/>
      <c r="U241" s="92"/>
      <c r="V241" s="92"/>
      <c r="W241" s="92"/>
    </row>
    <row r="242" spans="1:23" ht="14.25" customHeight="1">
      <c r="A242" s="56" t="str">
        <f t="shared" si="98"/>
        <v>Guava</v>
      </c>
      <c r="B242" s="56"/>
      <c r="C242" s="316"/>
      <c r="D242" s="97">
        <f t="shared" ref="D242:J242" si="101">C109*$C242*D$124</f>
        <v>0</v>
      </c>
      <c r="E242" s="97">
        <f t="shared" si="101"/>
        <v>0</v>
      </c>
      <c r="F242" s="97">
        <f t="shared" si="101"/>
        <v>0</v>
      </c>
      <c r="G242" s="97">
        <f t="shared" si="101"/>
        <v>0</v>
      </c>
      <c r="H242" s="97">
        <f t="shared" si="101"/>
        <v>0</v>
      </c>
      <c r="I242" s="97">
        <f t="shared" si="101"/>
        <v>0</v>
      </c>
      <c r="J242" s="97">
        <f t="shared" si="101"/>
        <v>0</v>
      </c>
      <c r="K242" s="92"/>
      <c r="L242" s="92"/>
      <c r="M242" s="92"/>
      <c r="N242" s="92"/>
      <c r="O242" s="92"/>
      <c r="P242" s="92"/>
      <c r="Q242" s="92"/>
      <c r="R242" s="92"/>
      <c r="S242" s="92"/>
      <c r="T242" s="92"/>
      <c r="U242" s="92"/>
      <c r="V242" s="92"/>
      <c r="W242" s="92"/>
    </row>
    <row r="243" spans="1:23" ht="14.25" customHeight="1">
      <c r="A243" s="56" t="str">
        <f t="shared" si="98"/>
        <v>Citrus</v>
      </c>
      <c r="B243" s="56"/>
      <c r="C243" s="316"/>
      <c r="D243" s="97">
        <f t="shared" ref="D243:J243" si="102">C110*$C243*D$124</f>
        <v>0</v>
      </c>
      <c r="E243" s="97">
        <f t="shared" si="102"/>
        <v>0</v>
      </c>
      <c r="F243" s="97">
        <f t="shared" si="102"/>
        <v>0</v>
      </c>
      <c r="G243" s="97">
        <f t="shared" si="102"/>
        <v>0</v>
      </c>
      <c r="H243" s="97">
        <f t="shared" si="102"/>
        <v>0</v>
      </c>
      <c r="I243" s="97">
        <f t="shared" si="102"/>
        <v>0</v>
      </c>
      <c r="J243" s="97">
        <f t="shared" si="102"/>
        <v>0</v>
      </c>
      <c r="K243" s="92"/>
      <c r="L243" s="92"/>
      <c r="M243" s="92"/>
      <c r="N243" s="92"/>
      <c r="O243" s="92"/>
      <c r="P243" s="92"/>
      <c r="Q243" s="92"/>
      <c r="R243" s="92"/>
      <c r="S243" s="92"/>
      <c r="T243" s="92"/>
      <c r="U243" s="92"/>
      <c r="V243" s="92"/>
      <c r="W243" s="92"/>
    </row>
    <row r="244" spans="1:23" ht="14.25" customHeight="1">
      <c r="A244" s="56">
        <f t="shared" si="98"/>
        <v>0</v>
      </c>
      <c r="B244" s="56"/>
      <c r="C244" s="316"/>
      <c r="D244" s="97">
        <f t="shared" ref="D244:J244" si="103">C111*$C244*D$124</f>
        <v>0</v>
      </c>
      <c r="E244" s="97">
        <f t="shared" si="103"/>
        <v>0</v>
      </c>
      <c r="F244" s="97">
        <f t="shared" si="103"/>
        <v>0</v>
      </c>
      <c r="G244" s="97">
        <f t="shared" si="103"/>
        <v>0</v>
      </c>
      <c r="H244" s="97">
        <f t="shared" si="103"/>
        <v>0</v>
      </c>
      <c r="I244" s="97">
        <f t="shared" si="103"/>
        <v>0</v>
      </c>
      <c r="J244" s="97">
        <f t="shared" si="103"/>
        <v>0</v>
      </c>
      <c r="K244" s="92"/>
      <c r="L244" s="92"/>
      <c r="M244" s="92"/>
      <c r="N244" s="92"/>
      <c r="O244" s="92"/>
      <c r="P244" s="92"/>
      <c r="Q244" s="92"/>
      <c r="R244" s="92"/>
      <c r="S244" s="92"/>
      <c r="T244" s="92"/>
      <c r="U244" s="92"/>
      <c r="V244" s="92"/>
      <c r="W244" s="92"/>
    </row>
    <row r="245" spans="1:23" ht="14.25" customHeight="1">
      <c r="A245" s="56" t="str">
        <f t="shared" ref="A245:A248" si="104">A181</f>
        <v>Fertilizer(Rate/KG)</v>
      </c>
      <c r="B245" s="56"/>
      <c r="C245" s="97"/>
      <c r="D245" s="97"/>
      <c r="E245" s="97"/>
      <c r="F245" s="97"/>
      <c r="G245" s="97"/>
      <c r="H245" s="97"/>
      <c r="I245" s="97"/>
      <c r="J245" s="97"/>
      <c r="K245" s="92"/>
      <c r="L245" s="92"/>
      <c r="M245" s="92"/>
      <c r="N245" s="92"/>
      <c r="O245" s="92"/>
      <c r="P245" s="92"/>
      <c r="Q245" s="92"/>
      <c r="R245" s="92"/>
      <c r="S245" s="92"/>
      <c r="T245" s="92"/>
      <c r="U245" s="92"/>
      <c r="V245" s="92"/>
      <c r="W245" s="92"/>
    </row>
    <row r="246" spans="1:23" ht="14.25" customHeight="1">
      <c r="A246" s="56" t="str">
        <f t="shared" si="104"/>
        <v>SSP</v>
      </c>
      <c r="B246" s="56"/>
      <c r="C246" s="316">
        <v>6</v>
      </c>
      <c r="D246" s="97">
        <f t="shared" ref="D246:J246" si="105">C114*$C$246*D124</f>
        <v>0</v>
      </c>
      <c r="E246" s="97">
        <f t="shared" si="105"/>
        <v>0</v>
      </c>
      <c r="F246" s="97">
        <f t="shared" si="105"/>
        <v>0</v>
      </c>
      <c r="G246" s="97">
        <f t="shared" si="105"/>
        <v>0</v>
      </c>
      <c r="H246" s="97">
        <f t="shared" si="105"/>
        <v>0</v>
      </c>
      <c r="I246" s="97">
        <f t="shared" si="105"/>
        <v>0</v>
      </c>
      <c r="J246" s="97">
        <f t="shared" si="105"/>
        <v>0</v>
      </c>
      <c r="K246" s="92"/>
      <c r="L246" s="92"/>
      <c r="M246" s="92"/>
      <c r="N246" s="92"/>
      <c r="O246" s="92"/>
      <c r="P246" s="92"/>
      <c r="Q246" s="92"/>
      <c r="R246" s="92"/>
      <c r="S246" s="92"/>
      <c r="T246" s="92"/>
      <c r="U246" s="92"/>
      <c r="V246" s="92"/>
      <c r="W246" s="92"/>
    </row>
    <row r="247" spans="1:23" ht="14.25" customHeight="1">
      <c r="A247" s="56" t="str">
        <f t="shared" si="104"/>
        <v>Urea</v>
      </c>
      <c r="B247" s="56"/>
      <c r="C247" s="316">
        <v>5</v>
      </c>
      <c r="D247" s="97">
        <f t="shared" ref="D247:J247" si="106">C115*$C$247*D124</f>
        <v>0</v>
      </c>
      <c r="E247" s="97">
        <f t="shared" si="106"/>
        <v>0</v>
      </c>
      <c r="F247" s="97">
        <f t="shared" si="106"/>
        <v>0</v>
      </c>
      <c r="G247" s="97">
        <f t="shared" si="106"/>
        <v>0</v>
      </c>
      <c r="H247" s="97">
        <f t="shared" si="106"/>
        <v>0</v>
      </c>
      <c r="I247" s="97">
        <f t="shared" si="106"/>
        <v>0</v>
      </c>
      <c r="J247" s="97">
        <f t="shared" si="106"/>
        <v>0</v>
      </c>
      <c r="K247" s="92"/>
      <c r="L247" s="92"/>
      <c r="M247" s="92"/>
      <c r="N247" s="92"/>
      <c r="O247" s="92"/>
      <c r="P247" s="92"/>
      <c r="Q247" s="92"/>
      <c r="R247" s="92"/>
      <c r="S247" s="92"/>
      <c r="T247" s="92"/>
      <c r="U247" s="92"/>
      <c r="V247" s="92"/>
      <c r="W247" s="92"/>
    </row>
    <row r="248" spans="1:23" ht="14.25" customHeight="1">
      <c r="A248" s="56" t="str">
        <f t="shared" si="104"/>
        <v>DAP</v>
      </c>
      <c r="B248" s="56"/>
      <c r="C248" s="316">
        <v>27</v>
      </c>
      <c r="D248" s="97">
        <f t="shared" ref="D248:J248" si="107">C116*$C$248*D124</f>
        <v>0</v>
      </c>
      <c r="E248" s="97">
        <f t="shared" si="107"/>
        <v>0</v>
      </c>
      <c r="F248" s="97">
        <f t="shared" si="107"/>
        <v>0</v>
      </c>
      <c r="G248" s="97">
        <f t="shared" si="107"/>
        <v>0</v>
      </c>
      <c r="H248" s="97">
        <f t="shared" si="107"/>
        <v>0</v>
      </c>
      <c r="I248" s="97">
        <f t="shared" si="107"/>
        <v>0</v>
      </c>
      <c r="J248" s="97">
        <f t="shared" si="107"/>
        <v>0</v>
      </c>
      <c r="K248" s="92"/>
      <c r="L248" s="92"/>
      <c r="M248" s="92"/>
      <c r="N248" s="92"/>
      <c r="O248" s="92"/>
      <c r="P248" s="92"/>
      <c r="Q248" s="92"/>
      <c r="R248" s="92"/>
      <c r="S248" s="92"/>
      <c r="T248" s="92"/>
      <c r="U248" s="92"/>
      <c r="V248" s="92"/>
      <c r="W248" s="92"/>
    </row>
    <row r="249" spans="1:23" ht="14.25" customHeight="1">
      <c r="A249" s="56"/>
      <c r="B249" s="56"/>
      <c r="C249" s="97"/>
      <c r="D249" s="97"/>
      <c r="E249" s="97"/>
      <c r="F249" s="97"/>
      <c r="G249" s="97"/>
      <c r="H249" s="97"/>
      <c r="I249" s="97"/>
      <c r="J249" s="97"/>
      <c r="K249" s="92"/>
      <c r="L249" s="92"/>
      <c r="M249" s="92"/>
      <c r="N249" s="92"/>
      <c r="O249" s="92"/>
      <c r="P249" s="92"/>
      <c r="Q249" s="92"/>
      <c r="R249" s="92"/>
      <c r="S249" s="92"/>
      <c r="T249" s="92"/>
      <c r="U249" s="92"/>
      <c r="V249" s="92"/>
      <c r="W249" s="92"/>
    </row>
    <row r="250" spans="1:23" ht="14.25" customHeight="1">
      <c r="A250" s="56" t="str">
        <f t="shared" ref="A250:A252" si="108">A186</f>
        <v>Pesticide</v>
      </c>
      <c r="B250" s="56"/>
      <c r="C250" s="97"/>
      <c r="D250" s="97"/>
      <c r="E250" s="97"/>
      <c r="F250" s="97"/>
      <c r="G250" s="97"/>
      <c r="H250" s="97"/>
      <c r="I250" s="97"/>
      <c r="J250" s="97"/>
      <c r="K250" s="92"/>
      <c r="L250" s="92"/>
      <c r="M250" s="92"/>
      <c r="N250" s="92"/>
      <c r="O250" s="92"/>
      <c r="P250" s="92"/>
      <c r="Q250" s="92"/>
      <c r="R250" s="92"/>
      <c r="S250" s="92"/>
      <c r="T250" s="92"/>
      <c r="U250" s="92"/>
      <c r="V250" s="92"/>
      <c r="W250" s="92"/>
    </row>
    <row r="251" spans="1:23" ht="14.25" customHeight="1">
      <c r="A251" s="56" t="str">
        <f t="shared" si="108"/>
        <v>Dupont Coragen</v>
      </c>
      <c r="B251" s="56"/>
      <c r="C251" s="316">
        <v>2800</v>
      </c>
      <c r="D251" s="97">
        <f t="shared" ref="D251:J251" si="109">C118*$C$251*D124</f>
        <v>0</v>
      </c>
      <c r="E251" s="97">
        <f t="shared" si="109"/>
        <v>0</v>
      </c>
      <c r="F251" s="97">
        <f t="shared" si="109"/>
        <v>0</v>
      </c>
      <c r="G251" s="97">
        <f t="shared" si="109"/>
        <v>0</v>
      </c>
      <c r="H251" s="97">
        <f t="shared" si="109"/>
        <v>0</v>
      </c>
      <c r="I251" s="97">
        <f t="shared" si="109"/>
        <v>0</v>
      </c>
      <c r="J251" s="97">
        <f t="shared" si="109"/>
        <v>0</v>
      </c>
      <c r="K251" s="92"/>
      <c r="L251" s="92"/>
      <c r="M251" s="92"/>
      <c r="N251" s="92"/>
      <c r="O251" s="92"/>
      <c r="P251" s="92"/>
      <c r="Q251" s="92"/>
      <c r="R251" s="92"/>
      <c r="S251" s="92"/>
      <c r="T251" s="92"/>
      <c r="U251" s="92"/>
      <c r="V251" s="92"/>
      <c r="W251" s="92"/>
    </row>
    <row r="252" spans="1:23" ht="14.25" customHeight="1">
      <c r="A252" s="56" t="str">
        <f t="shared" si="108"/>
        <v>Confidor Boyer</v>
      </c>
      <c r="B252" s="56"/>
      <c r="C252" s="316">
        <v>2000</v>
      </c>
      <c r="D252" s="97">
        <f t="shared" ref="D252:J252" si="110">C119*$C$252*D124</f>
        <v>0</v>
      </c>
      <c r="E252" s="97">
        <f t="shared" si="110"/>
        <v>0</v>
      </c>
      <c r="F252" s="97">
        <f t="shared" si="110"/>
        <v>0</v>
      </c>
      <c r="G252" s="97">
        <f t="shared" si="110"/>
        <v>0</v>
      </c>
      <c r="H252" s="97">
        <f t="shared" si="110"/>
        <v>0</v>
      </c>
      <c r="I252" s="97">
        <f t="shared" si="110"/>
        <v>0</v>
      </c>
      <c r="J252" s="97">
        <f t="shared" si="110"/>
        <v>0</v>
      </c>
      <c r="K252" s="92"/>
      <c r="L252" s="92"/>
      <c r="M252" s="92"/>
      <c r="N252" s="92"/>
      <c r="O252" s="92"/>
      <c r="P252" s="92"/>
      <c r="Q252" s="92"/>
      <c r="R252" s="92"/>
      <c r="S252" s="92"/>
      <c r="T252" s="92"/>
      <c r="U252" s="92"/>
      <c r="V252" s="92"/>
      <c r="W252" s="92"/>
    </row>
    <row r="253" spans="1:23" ht="14.25" customHeight="1">
      <c r="A253" s="56"/>
      <c r="B253" s="56"/>
      <c r="C253" s="97"/>
      <c r="D253" s="97"/>
      <c r="E253" s="97"/>
      <c r="F253" s="97"/>
      <c r="G253" s="97"/>
      <c r="H253" s="97"/>
      <c r="I253" s="97"/>
      <c r="J253" s="97"/>
      <c r="K253" s="92"/>
      <c r="L253" s="92"/>
      <c r="M253" s="92"/>
      <c r="N253" s="92"/>
      <c r="O253" s="92"/>
      <c r="P253" s="92"/>
      <c r="Q253" s="92"/>
      <c r="R253" s="92"/>
      <c r="S253" s="92"/>
      <c r="T253" s="92"/>
      <c r="U253" s="92"/>
      <c r="V253" s="92"/>
      <c r="W253" s="92"/>
    </row>
    <row r="254" spans="1:23" ht="14.25" customHeight="1">
      <c r="A254" s="56" t="s">
        <v>641</v>
      </c>
      <c r="B254" s="56"/>
      <c r="C254" s="316">
        <v>10</v>
      </c>
      <c r="D254" s="97">
        <f t="shared" ref="D254:J254" si="111">(SUM(C63:C119)/50)*$C$254*D124</f>
        <v>0</v>
      </c>
      <c r="E254" s="97">
        <f t="shared" si="111"/>
        <v>0</v>
      </c>
      <c r="F254" s="97">
        <f t="shared" si="111"/>
        <v>0</v>
      </c>
      <c r="G254" s="97">
        <f t="shared" si="111"/>
        <v>0</v>
      </c>
      <c r="H254" s="97">
        <f t="shared" si="111"/>
        <v>0</v>
      </c>
      <c r="I254" s="97">
        <f t="shared" si="111"/>
        <v>0</v>
      </c>
      <c r="J254" s="97">
        <f t="shared" si="111"/>
        <v>0</v>
      </c>
      <c r="K254" s="92"/>
      <c r="L254" s="92"/>
      <c r="M254" s="92"/>
      <c r="N254" s="92"/>
      <c r="O254" s="92"/>
      <c r="P254" s="92"/>
      <c r="Q254" s="92"/>
      <c r="R254" s="92"/>
      <c r="S254" s="92"/>
      <c r="T254" s="92"/>
      <c r="U254" s="92"/>
      <c r="V254" s="92"/>
      <c r="W254" s="92"/>
    </row>
    <row r="255" spans="1:23" ht="14.25" customHeight="1">
      <c r="A255" s="56" t="s">
        <v>743</v>
      </c>
      <c r="B255" s="56"/>
      <c r="C255" s="316">
        <v>100</v>
      </c>
      <c r="D255" s="97">
        <f t="shared" ref="D255:J255" si="112">(SUM(C63:C119)/50)*$C$255*D124</f>
        <v>0</v>
      </c>
      <c r="E255" s="97">
        <f t="shared" si="112"/>
        <v>0</v>
      </c>
      <c r="F255" s="97">
        <f t="shared" si="112"/>
        <v>0</v>
      </c>
      <c r="G255" s="97">
        <f t="shared" si="112"/>
        <v>0</v>
      </c>
      <c r="H255" s="97">
        <f t="shared" si="112"/>
        <v>0</v>
      </c>
      <c r="I255" s="97">
        <f t="shared" si="112"/>
        <v>0</v>
      </c>
      <c r="J255" s="97">
        <f t="shared" si="112"/>
        <v>0</v>
      </c>
      <c r="K255" s="92"/>
      <c r="L255" s="92"/>
      <c r="M255" s="92"/>
      <c r="N255" s="92"/>
      <c r="O255" s="92"/>
      <c r="P255" s="92"/>
      <c r="Q255" s="92"/>
      <c r="R255" s="92"/>
      <c r="S255" s="92"/>
      <c r="T255" s="92"/>
      <c r="U255" s="92"/>
      <c r="V255" s="92"/>
      <c r="W255" s="92"/>
    </row>
    <row r="256" spans="1:23" ht="14.25" customHeight="1">
      <c r="A256" s="56"/>
      <c r="B256" s="56"/>
      <c r="C256" s="316"/>
      <c r="D256" s="328"/>
      <c r="E256" s="97"/>
      <c r="F256" s="97"/>
      <c r="G256" s="97"/>
      <c r="H256" s="97"/>
      <c r="I256" s="97"/>
      <c r="J256" s="97"/>
      <c r="K256" s="92"/>
      <c r="L256" s="92"/>
      <c r="M256" s="92"/>
      <c r="N256" s="92"/>
      <c r="O256" s="92"/>
      <c r="P256" s="92"/>
      <c r="Q256" s="92"/>
      <c r="R256" s="92"/>
      <c r="S256" s="92"/>
      <c r="T256" s="92"/>
      <c r="U256" s="92"/>
      <c r="V256" s="92"/>
      <c r="W256" s="92"/>
    </row>
    <row r="257" spans="1:23" ht="14.25" customHeight="1">
      <c r="A257" s="56"/>
      <c r="B257" s="56"/>
      <c r="C257" s="316"/>
      <c r="D257" s="328"/>
      <c r="E257" s="97"/>
      <c r="F257" s="97"/>
      <c r="G257" s="97"/>
      <c r="H257" s="97"/>
      <c r="I257" s="97"/>
      <c r="J257" s="97"/>
      <c r="K257" s="92"/>
      <c r="L257" s="92"/>
      <c r="M257" s="92"/>
      <c r="N257" s="92"/>
      <c r="O257" s="92"/>
      <c r="P257" s="92"/>
      <c r="Q257" s="92"/>
      <c r="R257" s="92"/>
      <c r="S257" s="92"/>
      <c r="T257" s="92"/>
      <c r="U257" s="92"/>
      <c r="V257" s="92"/>
      <c r="W257" s="92"/>
    </row>
    <row r="258" spans="1:23" ht="14.25" customHeight="1">
      <c r="A258" s="56"/>
      <c r="B258" s="56"/>
      <c r="C258" s="316"/>
      <c r="D258" s="328"/>
      <c r="E258" s="97"/>
      <c r="F258" s="97"/>
      <c r="G258" s="97"/>
      <c r="H258" s="97"/>
      <c r="I258" s="97"/>
      <c r="J258" s="97"/>
      <c r="K258" s="92"/>
      <c r="L258" s="92"/>
      <c r="M258" s="92"/>
      <c r="N258" s="92"/>
      <c r="O258" s="92"/>
      <c r="P258" s="92"/>
      <c r="Q258" s="92"/>
      <c r="R258" s="92"/>
      <c r="S258" s="92"/>
      <c r="T258" s="92"/>
      <c r="U258" s="92"/>
      <c r="V258" s="92"/>
      <c r="W258" s="92"/>
    </row>
    <row r="259" spans="1:23" ht="14.25" customHeight="1">
      <c r="A259" s="56"/>
      <c r="B259" s="56"/>
      <c r="C259" s="316"/>
      <c r="D259" s="328"/>
      <c r="E259" s="97"/>
      <c r="F259" s="97"/>
      <c r="G259" s="97"/>
      <c r="H259" s="97"/>
      <c r="I259" s="97"/>
      <c r="J259" s="97"/>
      <c r="K259" s="92"/>
      <c r="L259" s="92"/>
      <c r="M259" s="92"/>
      <c r="N259" s="92"/>
      <c r="O259" s="92"/>
      <c r="P259" s="92"/>
      <c r="Q259" s="92"/>
      <c r="R259" s="92"/>
      <c r="S259" s="92"/>
      <c r="T259" s="92"/>
      <c r="U259" s="92"/>
      <c r="V259" s="92"/>
      <c r="W259" s="92"/>
    </row>
    <row r="260" spans="1:23" ht="14.25" customHeight="1">
      <c r="A260" s="56" t="s">
        <v>644</v>
      </c>
      <c r="B260" s="56"/>
      <c r="C260" s="97"/>
      <c r="D260" s="328"/>
      <c r="E260" s="97">
        <f>'5.Closing Stock &amp; W Capital'!F6</f>
        <v>0</v>
      </c>
      <c r="F260" s="97">
        <f>'5.Closing Stock &amp; W Capital'!G6</f>
        <v>0</v>
      </c>
      <c r="G260" s="97">
        <f>'5.Closing Stock &amp; W Capital'!H6</f>
        <v>0</v>
      </c>
      <c r="H260" s="97">
        <f>'5.Closing Stock &amp; W Capital'!I6</f>
        <v>0</v>
      </c>
      <c r="I260" s="97">
        <f>'5.Closing Stock &amp; W Capital'!J6</f>
        <v>0</v>
      </c>
      <c r="J260" s="97">
        <f>'5.Closing Stock &amp; W Capital'!K6</f>
        <v>0</v>
      </c>
      <c r="K260" s="92"/>
      <c r="L260" s="92"/>
      <c r="M260" s="92"/>
      <c r="N260" s="92"/>
      <c r="O260" s="92"/>
      <c r="P260" s="92"/>
      <c r="Q260" s="92"/>
      <c r="R260" s="92"/>
      <c r="S260" s="92"/>
      <c r="T260" s="92"/>
      <c r="U260" s="92"/>
      <c r="V260" s="92"/>
      <c r="W260" s="92"/>
    </row>
    <row r="261" spans="1:23" ht="14.25" customHeight="1">
      <c r="A261" s="56" t="s">
        <v>645</v>
      </c>
      <c r="B261" s="56"/>
      <c r="C261" s="56"/>
      <c r="D261" s="328">
        <f>'5.Closing Stock &amp; W Capital'!E15</f>
        <v>0</v>
      </c>
      <c r="E261" s="97">
        <f>'5.Closing Stock &amp; W Capital'!F15</f>
        <v>0</v>
      </c>
      <c r="F261" s="97">
        <f>'5.Closing Stock &amp; W Capital'!G15</f>
        <v>0</v>
      </c>
      <c r="G261" s="97">
        <f>'5.Closing Stock &amp; W Capital'!H15</f>
        <v>0</v>
      </c>
      <c r="H261" s="97">
        <f>'5.Closing Stock &amp; W Capital'!I15</f>
        <v>0</v>
      </c>
      <c r="I261" s="97">
        <f>'5.Closing Stock &amp; W Capital'!J15</f>
        <v>0</v>
      </c>
      <c r="J261" s="97">
        <f>'5.Closing Stock &amp; W Capital'!K15</f>
        <v>0</v>
      </c>
      <c r="K261" s="92"/>
      <c r="L261" s="92"/>
      <c r="M261" s="92"/>
      <c r="N261" s="92"/>
      <c r="O261" s="92"/>
      <c r="P261" s="92"/>
      <c r="Q261" s="92"/>
      <c r="R261" s="92"/>
      <c r="S261" s="92"/>
      <c r="T261" s="92"/>
      <c r="U261" s="92"/>
      <c r="V261" s="92"/>
      <c r="W261" s="92"/>
    </row>
    <row r="262" spans="1:23" ht="14.25" customHeight="1">
      <c r="A262" s="56"/>
      <c r="B262" s="56"/>
      <c r="C262" s="56"/>
      <c r="D262" s="92"/>
      <c r="E262" s="92"/>
      <c r="F262" s="92"/>
      <c r="G262" s="92"/>
      <c r="H262" s="92"/>
      <c r="I262" s="92"/>
      <c r="J262" s="92"/>
      <c r="K262" s="92"/>
      <c r="L262" s="92"/>
      <c r="M262" s="92"/>
      <c r="N262" s="92"/>
      <c r="O262" s="92"/>
      <c r="P262" s="92"/>
      <c r="Q262" s="92"/>
      <c r="R262" s="92"/>
      <c r="S262" s="92"/>
      <c r="T262" s="92"/>
      <c r="U262" s="92"/>
      <c r="V262" s="92"/>
      <c r="W262" s="92"/>
    </row>
    <row r="263" spans="1:23" ht="14.25" customHeight="1">
      <c r="A263" s="98" t="s">
        <v>405</v>
      </c>
      <c r="B263" s="98"/>
      <c r="C263" s="99"/>
      <c r="D263" s="99">
        <f t="shared" ref="D263:J263" si="113">SUM(D198:D259)+D260-D261</f>
        <v>0</v>
      </c>
      <c r="E263" s="99">
        <f t="shared" si="113"/>
        <v>0</v>
      </c>
      <c r="F263" s="99">
        <f t="shared" si="113"/>
        <v>0</v>
      </c>
      <c r="G263" s="99">
        <f t="shared" si="113"/>
        <v>0</v>
      </c>
      <c r="H263" s="99">
        <f t="shared" si="113"/>
        <v>0</v>
      </c>
      <c r="I263" s="99">
        <f t="shared" si="113"/>
        <v>0</v>
      </c>
      <c r="J263" s="99">
        <f t="shared" si="113"/>
        <v>0</v>
      </c>
      <c r="K263" s="92"/>
      <c r="L263" s="92"/>
      <c r="M263" s="92"/>
      <c r="N263" s="92"/>
      <c r="O263" s="92"/>
      <c r="P263" s="92"/>
      <c r="Q263" s="92"/>
      <c r="R263" s="92"/>
      <c r="S263" s="92"/>
      <c r="T263" s="92"/>
      <c r="U263" s="92"/>
      <c r="V263" s="92"/>
      <c r="W263" s="92"/>
    </row>
    <row r="264" spans="1:23" ht="14.25" customHeight="1">
      <c r="A264" s="56"/>
      <c r="B264" s="56"/>
      <c r="C264" s="97"/>
      <c r="D264" s="97"/>
      <c r="E264" s="97"/>
      <c r="F264" s="97"/>
      <c r="G264" s="97"/>
      <c r="H264" s="97"/>
      <c r="I264" s="97"/>
      <c r="J264" s="97"/>
      <c r="K264" s="92"/>
      <c r="L264" s="92"/>
      <c r="M264" s="92"/>
      <c r="N264" s="92"/>
      <c r="O264" s="92"/>
      <c r="P264" s="92"/>
      <c r="Q264" s="92"/>
      <c r="R264" s="92"/>
      <c r="S264" s="92"/>
      <c r="T264" s="92"/>
      <c r="U264" s="92"/>
      <c r="V264" s="92"/>
      <c r="W264" s="92"/>
    </row>
    <row r="265" spans="1:23" ht="14.25" customHeight="1">
      <c r="A265" s="98" t="s">
        <v>406</v>
      </c>
      <c r="B265" s="98"/>
      <c r="C265" s="97"/>
      <c r="D265" s="97"/>
      <c r="E265" s="97"/>
      <c r="F265" s="97"/>
      <c r="G265" s="97"/>
      <c r="H265" s="97"/>
      <c r="I265" s="97"/>
      <c r="J265" s="97"/>
      <c r="K265" s="92"/>
      <c r="L265" s="92"/>
      <c r="M265" s="92"/>
      <c r="N265" s="92"/>
      <c r="O265" s="92"/>
      <c r="P265" s="92"/>
      <c r="Q265" s="92"/>
      <c r="R265" s="92"/>
      <c r="S265" s="92"/>
      <c r="T265" s="92"/>
      <c r="U265" s="92"/>
      <c r="V265" s="92"/>
      <c r="W265" s="92"/>
    </row>
    <row r="266" spans="1:23" ht="14.25" customHeight="1">
      <c r="A266" s="56" t="s">
        <v>744</v>
      </c>
      <c r="B266" s="56">
        <v>12</v>
      </c>
      <c r="C266" s="316"/>
      <c r="D266" s="97">
        <f t="shared" ref="D266:J266" si="114">$B$266*$C$266*D124</f>
        <v>0</v>
      </c>
      <c r="E266" s="97">
        <f t="shared" si="114"/>
        <v>0</v>
      </c>
      <c r="F266" s="97">
        <f t="shared" si="114"/>
        <v>0</v>
      </c>
      <c r="G266" s="97">
        <f t="shared" si="114"/>
        <v>0</v>
      </c>
      <c r="H266" s="97">
        <f t="shared" si="114"/>
        <v>0</v>
      </c>
      <c r="I266" s="97">
        <f t="shared" si="114"/>
        <v>0</v>
      </c>
      <c r="J266" s="97">
        <f t="shared" si="114"/>
        <v>0</v>
      </c>
      <c r="K266" s="92"/>
      <c r="L266" s="92"/>
      <c r="M266" s="92"/>
      <c r="N266" s="92"/>
      <c r="O266" s="92"/>
      <c r="P266" s="92"/>
      <c r="Q266" s="92"/>
      <c r="R266" s="92"/>
      <c r="S266" s="92"/>
      <c r="T266" s="92"/>
      <c r="U266" s="92"/>
      <c r="V266" s="92"/>
      <c r="W266" s="92"/>
    </row>
    <row r="267" spans="1:23" ht="14.25" customHeight="1">
      <c r="A267" s="56" t="s">
        <v>745</v>
      </c>
      <c r="B267" s="58">
        <v>1</v>
      </c>
      <c r="C267" s="316"/>
      <c r="D267" s="97">
        <f t="shared" ref="D267:J267" si="115">$B$267*$C$267*12*D124</f>
        <v>0</v>
      </c>
      <c r="E267" s="97">
        <f t="shared" si="115"/>
        <v>0</v>
      </c>
      <c r="F267" s="97">
        <f t="shared" si="115"/>
        <v>0</v>
      </c>
      <c r="G267" s="97">
        <f t="shared" si="115"/>
        <v>0</v>
      </c>
      <c r="H267" s="97">
        <f t="shared" si="115"/>
        <v>0</v>
      </c>
      <c r="I267" s="97">
        <f t="shared" si="115"/>
        <v>0</v>
      </c>
      <c r="J267" s="97">
        <f t="shared" si="115"/>
        <v>0</v>
      </c>
      <c r="K267" s="92"/>
      <c r="L267" s="92"/>
      <c r="M267" s="92"/>
      <c r="N267" s="92"/>
      <c r="O267" s="92"/>
      <c r="P267" s="92"/>
      <c r="Q267" s="92"/>
      <c r="R267" s="92"/>
      <c r="S267" s="92"/>
      <c r="T267" s="92"/>
      <c r="U267" s="92"/>
      <c r="V267" s="92"/>
      <c r="W267" s="92"/>
    </row>
    <row r="268" spans="1:23" ht="14.25" customHeight="1">
      <c r="A268" s="56" t="s">
        <v>647</v>
      </c>
      <c r="B268" s="58">
        <v>1</v>
      </c>
      <c r="C268" s="316"/>
      <c r="D268" s="97">
        <f t="shared" ref="D268:J268" si="116">$B$268*$C$268*12*D124</f>
        <v>0</v>
      </c>
      <c r="E268" s="97">
        <f t="shared" si="116"/>
        <v>0</v>
      </c>
      <c r="F268" s="97">
        <f t="shared" si="116"/>
        <v>0</v>
      </c>
      <c r="G268" s="97">
        <f t="shared" si="116"/>
        <v>0</v>
      </c>
      <c r="H268" s="97">
        <f t="shared" si="116"/>
        <v>0</v>
      </c>
      <c r="I268" s="97">
        <f t="shared" si="116"/>
        <v>0</v>
      </c>
      <c r="J268" s="97">
        <f t="shared" si="116"/>
        <v>0</v>
      </c>
      <c r="K268" s="92"/>
      <c r="L268" s="92"/>
      <c r="M268" s="92"/>
      <c r="N268" s="92"/>
      <c r="O268" s="92"/>
      <c r="P268" s="92"/>
      <c r="Q268" s="92"/>
      <c r="R268" s="92"/>
      <c r="S268" s="92"/>
      <c r="T268" s="92"/>
      <c r="U268" s="92"/>
      <c r="V268" s="92"/>
      <c r="W268" s="92"/>
    </row>
    <row r="269" spans="1:23" ht="14.25" customHeight="1">
      <c r="A269" s="56" t="s">
        <v>746</v>
      </c>
      <c r="B269" s="56">
        <v>12</v>
      </c>
      <c r="C269" s="316"/>
      <c r="D269" s="97">
        <f t="shared" ref="D269:J269" si="117">$B$269*$C$269*D124</f>
        <v>0</v>
      </c>
      <c r="E269" s="97">
        <f t="shared" si="117"/>
        <v>0</v>
      </c>
      <c r="F269" s="97">
        <f t="shared" si="117"/>
        <v>0</v>
      </c>
      <c r="G269" s="97">
        <f t="shared" si="117"/>
        <v>0</v>
      </c>
      <c r="H269" s="97">
        <f t="shared" si="117"/>
        <v>0</v>
      </c>
      <c r="I269" s="97">
        <f t="shared" si="117"/>
        <v>0</v>
      </c>
      <c r="J269" s="97">
        <f t="shared" si="117"/>
        <v>0</v>
      </c>
      <c r="K269" s="92"/>
      <c r="L269" s="92"/>
      <c r="M269" s="92"/>
      <c r="N269" s="92"/>
      <c r="O269" s="92"/>
      <c r="P269" s="92"/>
      <c r="Q269" s="92"/>
      <c r="R269" s="92"/>
      <c r="S269" s="92"/>
      <c r="T269" s="92"/>
      <c r="U269" s="92"/>
      <c r="V269" s="92"/>
      <c r="W269" s="92"/>
    </row>
    <row r="270" spans="1:23" ht="14.25" customHeight="1">
      <c r="A270" s="56"/>
      <c r="B270" s="56"/>
      <c r="C270" s="316"/>
      <c r="D270" s="97"/>
      <c r="E270" s="97"/>
      <c r="F270" s="97"/>
      <c r="G270" s="97"/>
      <c r="H270" s="97"/>
      <c r="I270" s="97"/>
      <c r="J270" s="97"/>
      <c r="K270" s="92"/>
      <c r="L270" s="92"/>
      <c r="M270" s="92"/>
      <c r="N270" s="92"/>
      <c r="O270" s="92"/>
      <c r="P270" s="92"/>
      <c r="Q270" s="92"/>
      <c r="R270" s="92"/>
      <c r="S270" s="92"/>
      <c r="T270" s="92"/>
      <c r="U270" s="92"/>
      <c r="V270" s="92"/>
      <c r="W270" s="92"/>
    </row>
    <row r="271" spans="1:23" ht="14.25" customHeight="1">
      <c r="A271" s="56"/>
      <c r="B271" s="56"/>
      <c r="C271" s="316"/>
      <c r="D271" s="97"/>
      <c r="E271" s="97"/>
      <c r="F271" s="97"/>
      <c r="G271" s="97"/>
      <c r="H271" s="97"/>
      <c r="I271" s="97"/>
      <c r="J271" s="97"/>
      <c r="K271" s="92"/>
      <c r="L271" s="92"/>
      <c r="M271" s="92"/>
      <c r="N271" s="92"/>
      <c r="O271" s="92"/>
      <c r="P271" s="92"/>
      <c r="Q271" s="92"/>
      <c r="R271" s="92"/>
      <c r="S271" s="92"/>
      <c r="T271" s="92"/>
      <c r="U271" s="92"/>
      <c r="V271" s="92"/>
      <c r="W271" s="92"/>
    </row>
    <row r="272" spans="1:23" ht="14.25" customHeight="1">
      <c r="A272" s="56"/>
      <c r="B272" s="56"/>
      <c r="C272" s="316"/>
      <c r="D272" s="97"/>
      <c r="E272" s="97"/>
      <c r="F272" s="97"/>
      <c r="G272" s="97"/>
      <c r="H272" s="97"/>
      <c r="I272" s="97"/>
      <c r="J272" s="97"/>
      <c r="K272" s="92"/>
      <c r="L272" s="92"/>
      <c r="M272" s="92"/>
      <c r="N272" s="92"/>
      <c r="O272" s="92"/>
      <c r="P272" s="92"/>
      <c r="Q272" s="92"/>
      <c r="R272" s="92"/>
      <c r="S272" s="92"/>
      <c r="T272" s="92"/>
      <c r="U272" s="92"/>
      <c r="V272" s="92"/>
      <c r="W272" s="92"/>
    </row>
    <row r="273" spans="1:23" ht="14.25" customHeight="1">
      <c r="A273" s="56"/>
      <c r="B273" s="56"/>
      <c r="C273" s="316"/>
      <c r="D273" s="97"/>
      <c r="E273" s="97"/>
      <c r="F273" s="97"/>
      <c r="G273" s="97"/>
      <c r="H273" s="97"/>
      <c r="I273" s="97"/>
      <c r="J273" s="97"/>
      <c r="K273" s="92"/>
      <c r="L273" s="92"/>
      <c r="M273" s="92"/>
      <c r="N273" s="92"/>
      <c r="O273" s="92"/>
      <c r="P273" s="92"/>
      <c r="Q273" s="92"/>
      <c r="R273" s="92"/>
      <c r="S273" s="92"/>
      <c r="T273" s="92"/>
      <c r="U273" s="92"/>
      <c r="V273" s="92"/>
      <c r="W273" s="92"/>
    </row>
    <row r="274" spans="1:23" ht="14.25" customHeight="1">
      <c r="A274" s="98" t="s">
        <v>408</v>
      </c>
      <c r="B274" s="98"/>
      <c r="C274" s="99"/>
      <c r="D274" s="99">
        <f t="shared" ref="D274:J274" si="118">SUM(D266:D273)</f>
        <v>0</v>
      </c>
      <c r="E274" s="99">
        <f t="shared" si="118"/>
        <v>0</v>
      </c>
      <c r="F274" s="99">
        <f t="shared" si="118"/>
        <v>0</v>
      </c>
      <c r="G274" s="99">
        <f t="shared" si="118"/>
        <v>0</v>
      </c>
      <c r="H274" s="99">
        <f t="shared" si="118"/>
        <v>0</v>
      </c>
      <c r="I274" s="99">
        <f t="shared" si="118"/>
        <v>0</v>
      </c>
      <c r="J274" s="99">
        <f t="shared" si="118"/>
        <v>0</v>
      </c>
      <c r="K274" s="92"/>
      <c r="L274" s="92"/>
      <c r="M274" s="92"/>
      <c r="N274" s="92"/>
      <c r="O274" s="92"/>
      <c r="P274" s="92"/>
      <c r="Q274" s="92"/>
      <c r="R274" s="92"/>
      <c r="S274" s="92"/>
      <c r="T274" s="92"/>
      <c r="U274" s="92"/>
      <c r="V274" s="92"/>
      <c r="W274" s="92"/>
    </row>
    <row r="275" spans="1:23" ht="14.25" customHeight="1">
      <c r="A275" s="313" t="s">
        <v>747</v>
      </c>
      <c r="B275" s="313"/>
      <c r="C275" s="329"/>
      <c r="D275" s="99">
        <f t="shared" ref="D275:J275" si="119">D263+D274</f>
        <v>0</v>
      </c>
      <c r="E275" s="99">
        <f t="shared" si="119"/>
        <v>0</v>
      </c>
      <c r="F275" s="99">
        <f t="shared" si="119"/>
        <v>0</v>
      </c>
      <c r="G275" s="99">
        <f t="shared" si="119"/>
        <v>0</v>
      </c>
      <c r="H275" s="99">
        <f t="shared" si="119"/>
        <v>0</v>
      </c>
      <c r="I275" s="99">
        <f t="shared" si="119"/>
        <v>0</v>
      </c>
      <c r="J275" s="99">
        <f t="shared" si="119"/>
        <v>0</v>
      </c>
      <c r="K275" s="92"/>
      <c r="L275" s="92"/>
      <c r="M275" s="92"/>
      <c r="N275" s="92"/>
      <c r="O275" s="92"/>
      <c r="P275" s="92"/>
      <c r="Q275" s="92"/>
      <c r="R275" s="92"/>
      <c r="S275" s="92"/>
      <c r="T275" s="92"/>
      <c r="U275" s="92"/>
      <c r="V275" s="92"/>
      <c r="W275" s="92"/>
    </row>
    <row r="276" spans="1:23" ht="14.25" customHeight="1">
      <c r="A276" s="56"/>
      <c r="B276" s="56"/>
      <c r="C276" s="97"/>
      <c r="D276" s="97"/>
      <c r="E276" s="97"/>
      <c r="F276" s="97"/>
      <c r="G276" s="97"/>
      <c r="H276" s="97"/>
      <c r="I276" s="97"/>
      <c r="J276" s="97"/>
      <c r="K276" s="92"/>
      <c r="L276" s="92"/>
      <c r="M276" s="92"/>
      <c r="N276" s="92"/>
      <c r="O276" s="92"/>
      <c r="P276" s="92"/>
      <c r="Q276" s="92"/>
      <c r="R276" s="92"/>
      <c r="S276" s="92"/>
      <c r="T276" s="92"/>
      <c r="U276" s="92"/>
      <c r="V276" s="92"/>
      <c r="W276" s="92"/>
    </row>
    <row r="277" spans="1:23" ht="14.25" customHeight="1">
      <c r="A277" s="313" t="s">
        <v>672</v>
      </c>
      <c r="B277" s="313"/>
      <c r="C277" s="329"/>
      <c r="D277" s="99">
        <f t="shared" ref="D277:J277" si="120">D191-D275</f>
        <v>0</v>
      </c>
      <c r="E277" s="99">
        <f t="shared" si="120"/>
        <v>0</v>
      </c>
      <c r="F277" s="99">
        <f t="shared" si="120"/>
        <v>0</v>
      </c>
      <c r="G277" s="99">
        <f t="shared" si="120"/>
        <v>0</v>
      </c>
      <c r="H277" s="99">
        <f t="shared" si="120"/>
        <v>0</v>
      </c>
      <c r="I277" s="99">
        <f t="shared" si="120"/>
        <v>0</v>
      </c>
      <c r="J277" s="99">
        <f t="shared" si="120"/>
        <v>0</v>
      </c>
      <c r="K277" s="92"/>
      <c r="L277" s="92"/>
      <c r="M277" s="92"/>
      <c r="N277" s="92"/>
      <c r="O277" s="92"/>
      <c r="P277" s="92"/>
      <c r="Q277" s="92"/>
      <c r="R277" s="92"/>
      <c r="S277" s="92"/>
      <c r="T277" s="92"/>
      <c r="U277" s="92"/>
      <c r="V277" s="92"/>
      <c r="W277" s="92"/>
    </row>
    <row r="278" spans="1:23" ht="14.25" customHeight="1">
      <c r="A278" s="246"/>
      <c r="B278" s="246"/>
      <c r="C278" s="246"/>
      <c r="D278" s="92"/>
      <c r="E278" s="92"/>
      <c r="F278" s="92"/>
      <c r="G278" s="92"/>
      <c r="H278" s="92"/>
      <c r="I278" s="92"/>
      <c r="J278" s="92"/>
      <c r="K278" s="92"/>
      <c r="L278" s="92"/>
      <c r="M278" s="92"/>
      <c r="N278" s="92"/>
      <c r="O278" s="92"/>
      <c r="P278" s="92"/>
      <c r="Q278" s="92"/>
      <c r="R278" s="92"/>
      <c r="S278" s="92"/>
      <c r="T278" s="92"/>
      <c r="U278" s="92"/>
      <c r="V278" s="92"/>
      <c r="W278" s="92"/>
    </row>
    <row r="279" spans="1:23" ht="14.25" customHeight="1">
      <c r="A279" s="92"/>
      <c r="B279" s="92"/>
      <c r="C279" s="92"/>
      <c r="D279" s="92"/>
      <c r="E279" s="92"/>
      <c r="F279" s="92"/>
      <c r="G279" s="92"/>
      <c r="H279" s="92"/>
      <c r="I279" s="92"/>
      <c r="J279" s="92"/>
      <c r="K279" s="92"/>
      <c r="L279" s="92"/>
      <c r="M279" s="92"/>
      <c r="N279" s="92"/>
      <c r="O279" s="92"/>
      <c r="P279" s="92"/>
      <c r="Q279" s="92"/>
      <c r="R279" s="92"/>
      <c r="S279" s="92"/>
      <c r="T279" s="92"/>
      <c r="U279" s="92"/>
      <c r="V279" s="92"/>
      <c r="W279" s="92"/>
    </row>
    <row r="280" spans="1:23" ht="14.25" customHeight="1">
      <c r="A280" s="362" t="s">
        <v>748</v>
      </c>
      <c r="B280" s="360"/>
      <c r="C280" s="360"/>
      <c r="D280" s="360"/>
      <c r="E280" s="360"/>
      <c r="F280" s="360"/>
      <c r="G280" s="360"/>
      <c r="H280" s="360"/>
      <c r="I280" s="360"/>
      <c r="J280" s="360"/>
    </row>
    <row r="281" spans="1:23" ht="14.25" customHeight="1"/>
    <row r="282" spans="1:23" ht="14.25" customHeight="1">
      <c r="A282" t="s">
        <v>361</v>
      </c>
    </row>
    <row r="283" spans="1:23" ht="14.25" customHeight="1">
      <c r="A283">
        <v>1</v>
      </c>
      <c r="B283" t="s">
        <v>652</v>
      </c>
    </row>
    <row r="284" spans="1:23" ht="14.25" customHeight="1">
      <c r="A284">
        <v>2</v>
      </c>
      <c r="B284" t="s">
        <v>653</v>
      </c>
    </row>
    <row r="285" spans="1:23" ht="14.25" customHeight="1">
      <c r="A285">
        <v>3</v>
      </c>
      <c r="B285" s="92" t="s">
        <v>654</v>
      </c>
    </row>
  </sheetData>
  <mergeCells count="3">
    <mergeCell ref="A122:J122"/>
    <mergeCell ref="A2:I2"/>
    <mergeCell ref="A280:J280"/>
  </mergeCells>
  <pageMargins left="0.7" right="0.7" top="0.75" bottom="0.75" header="0" footer="0"/>
  <pageSetup orientation="portrait"/>
  <colBreaks count="1" manualBreakCount="1">
    <brk id="10"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00"/>
  <sheetViews>
    <sheetView workbookViewId="0"/>
  </sheetViews>
  <sheetFormatPr defaultColWidth="14.42578125" defaultRowHeight="15" customHeight="1"/>
  <cols>
    <col min="1" max="1" width="41.7109375" customWidth="1"/>
    <col min="2" max="2" width="11.5703125" customWidth="1"/>
    <col min="3" max="3" width="12.5703125" customWidth="1"/>
    <col min="4" max="4" width="15.140625" customWidth="1"/>
    <col min="5" max="8" width="17.28515625" customWidth="1"/>
    <col min="9" max="10" width="16.85546875" customWidth="1"/>
    <col min="11" max="11" width="8.7109375" customWidth="1"/>
  </cols>
  <sheetData>
    <row r="1" spans="1:8" ht="14.25" customHeight="1"/>
    <row r="2" spans="1:8" ht="14.25" customHeight="1"/>
    <row r="3" spans="1:8" ht="14.25" customHeight="1">
      <c r="A3" s="359" t="s">
        <v>749</v>
      </c>
      <c r="B3" s="360"/>
      <c r="C3" s="360"/>
      <c r="D3" s="360"/>
      <c r="E3" s="360"/>
      <c r="F3" s="360"/>
      <c r="G3" s="360"/>
      <c r="H3" s="360"/>
    </row>
    <row r="4" spans="1:8" ht="14.25" customHeight="1">
      <c r="A4" s="359" t="s">
        <v>750</v>
      </c>
      <c r="B4" s="360"/>
      <c r="C4" s="360"/>
      <c r="D4" s="360"/>
      <c r="E4" s="360"/>
      <c r="F4" s="360"/>
      <c r="G4" s="360"/>
      <c r="H4" s="360"/>
    </row>
    <row r="5" spans="1:8" ht="14.25" customHeight="1">
      <c r="A5" s="92" t="s">
        <v>127</v>
      </c>
      <c r="B5" s="293">
        <v>0</v>
      </c>
      <c r="C5" s="92" t="s">
        <v>657</v>
      </c>
      <c r="D5" s="92"/>
      <c r="E5" s="92"/>
      <c r="F5" s="92"/>
      <c r="G5" s="92"/>
      <c r="H5" s="92"/>
    </row>
    <row r="6" spans="1:8" ht="14.25" customHeight="1">
      <c r="A6" s="92" t="s">
        <v>619</v>
      </c>
      <c r="B6" s="160">
        <v>8</v>
      </c>
      <c r="C6" s="92"/>
      <c r="D6" s="92"/>
      <c r="E6" s="92"/>
      <c r="F6" s="92"/>
      <c r="G6" s="92"/>
      <c r="H6" s="92"/>
    </row>
    <row r="7" spans="1:8" ht="14.25" customHeight="1">
      <c r="A7" s="92"/>
      <c r="B7" s="160"/>
      <c r="C7" s="92"/>
      <c r="D7" s="92"/>
      <c r="E7" s="92"/>
      <c r="F7" s="92"/>
      <c r="G7" s="92"/>
      <c r="H7" s="92"/>
    </row>
    <row r="8" spans="1:8" ht="14.25" customHeight="1">
      <c r="A8" s="92"/>
      <c r="B8" s="160"/>
      <c r="C8" s="92"/>
      <c r="D8" s="92"/>
      <c r="E8" s="92"/>
      <c r="F8" s="92"/>
      <c r="G8" s="92"/>
      <c r="H8" s="92"/>
    </row>
    <row r="9" spans="1:8" ht="14.25" customHeight="1">
      <c r="A9" s="92"/>
      <c r="B9" s="92"/>
      <c r="C9" s="92"/>
      <c r="D9" s="92"/>
      <c r="E9" s="92"/>
      <c r="F9" s="92"/>
      <c r="G9" s="92"/>
      <c r="H9" s="92"/>
    </row>
    <row r="10" spans="1:8" ht="14.25" customHeight="1">
      <c r="A10" s="92"/>
      <c r="B10" s="92"/>
      <c r="C10" s="92"/>
      <c r="D10" s="92"/>
      <c r="E10" s="92"/>
      <c r="F10" s="92"/>
      <c r="G10" s="92"/>
      <c r="H10" s="92"/>
    </row>
    <row r="11" spans="1:8" ht="14.25" customHeight="1">
      <c r="A11" s="168" t="s">
        <v>201</v>
      </c>
      <c r="B11" s="169" t="s">
        <v>204</v>
      </c>
      <c r="C11" s="169" t="s">
        <v>205</v>
      </c>
      <c r="D11" s="169" t="s">
        <v>206</v>
      </c>
      <c r="E11" s="169" t="s">
        <v>207</v>
      </c>
      <c r="F11" s="169" t="s">
        <v>208</v>
      </c>
      <c r="G11" s="169" t="s">
        <v>209</v>
      </c>
      <c r="H11" s="169" t="s">
        <v>210</v>
      </c>
    </row>
    <row r="12" spans="1:8" ht="14.25" customHeight="1">
      <c r="A12" s="56" t="s">
        <v>658</v>
      </c>
      <c r="B12" s="308"/>
      <c r="C12" s="308"/>
      <c r="D12" s="308"/>
      <c r="E12" s="308"/>
      <c r="F12" s="308"/>
      <c r="G12" s="308"/>
      <c r="H12" s="308"/>
    </row>
    <row r="13" spans="1:8" ht="14.25" customHeight="1">
      <c r="A13" s="56" t="s">
        <v>370</v>
      </c>
      <c r="B13" s="56">
        <f>'10.Grain Production details'!B77</f>
        <v>0</v>
      </c>
      <c r="C13" s="56">
        <f>'10.Grain Production details'!C77</f>
        <v>0</v>
      </c>
      <c r="D13" s="56">
        <f>'10.Grain Production details'!D77</f>
        <v>0</v>
      </c>
      <c r="E13" s="56">
        <f>'10.Grain Production details'!E77</f>
        <v>0</v>
      </c>
      <c r="F13" s="56">
        <f>'10.Grain Production details'!F77</f>
        <v>0</v>
      </c>
      <c r="G13" s="56">
        <f>'10.Grain Production details'!G77</f>
        <v>0</v>
      </c>
      <c r="H13" s="56">
        <f>'10.Grain Production details'!H77</f>
        <v>0</v>
      </c>
    </row>
    <row r="14" spans="1:8" ht="14.25" hidden="1" customHeight="1">
      <c r="A14" s="56" t="str">
        <f>'11.F&amp;V Crop Production details'!A75</f>
        <v>Tomato</v>
      </c>
      <c r="B14" s="56">
        <f>'11.F&amp;V Crop Production details'!B75</f>
        <v>0</v>
      </c>
      <c r="C14" s="56">
        <f>'11.F&amp;V Crop Production details'!C75</f>
        <v>0</v>
      </c>
      <c r="D14" s="56">
        <f>'11.F&amp;V Crop Production details'!D75</f>
        <v>0</v>
      </c>
      <c r="E14" s="56">
        <f>'11.F&amp;V Crop Production details'!E75</f>
        <v>0</v>
      </c>
      <c r="F14" s="56">
        <f>'11.F&amp;V Crop Production details'!F75</f>
        <v>0</v>
      </c>
      <c r="G14" s="56">
        <f>'11.F&amp;V Crop Production details'!G75</f>
        <v>0</v>
      </c>
      <c r="H14" s="56">
        <f>'11.F&amp;V Crop Production details'!H75</f>
        <v>0</v>
      </c>
    </row>
    <row r="15" spans="1:8" ht="14.25" hidden="1" customHeight="1">
      <c r="A15" s="56" t="str">
        <f>'11.F&amp;V Crop Production details'!A76</f>
        <v>Okra</v>
      </c>
      <c r="B15" s="56">
        <f>'11.F&amp;V Crop Production details'!B76</f>
        <v>0</v>
      </c>
      <c r="C15" s="56">
        <f>'11.F&amp;V Crop Production details'!C76</f>
        <v>0</v>
      </c>
      <c r="D15" s="56">
        <f>'11.F&amp;V Crop Production details'!D76</f>
        <v>0</v>
      </c>
      <c r="E15" s="56">
        <f>'11.F&amp;V Crop Production details'!E76</f>
        <v>0</v>
      </c>
      <c r="F15" s="56">
        <f>'11.F&amp;V Crop Production details'!F76</f>
        <v>0</v>
      </c>
      <c r="G15" s="56">
        <f>'11.F&amp;V Crop Production details'!G76</f>
        <v>0</v>
      </c>
      <c r="H15" s="56">
        <f>'11.F&amp;V Crop Production details'!H76</f>
        <v>0</v>
      </c>
    </row>
    <row r="16" spans="1:8" ht="14.25" hidden="1" customHeight="1">
      <c r="A16" s="56" t="str">
        <f>'11.F&amp;V Crop Production details'!A77</f>
        <v>Chilli</v>
      </c>
      <c r="B16" s="56">
        <f>'11.F&amp;V Crop Production details'!B77</f>
        <v>0</v>
      </c>
      <c r="C16" s="56">
        <f>'11.F&amp;V Crop Production details'!C77</f>
        <v>0</v>
      </c>
      <c r="D16" s="56">
        <f>'11.F&amp;V Crop Production details'!D77</f>
        <v>0</v>
      </c>
      <c r="E16" s="56">
        <f>'11.F&amp;V Crop Production details'!E77</f>
        <v>0</v>
      </c>
      <c r="F16" s="56">
        <f>'11.F&amp;V Crop Production details'!F77</f>
        <v>0</v>
      </c>
      <c r="G16" s="56">
        <f>'11.F&amp;V Crop Production details'!G77</f>
        <v>0</v>
      </c>
      <c r="H16" s="56">
        <f>'11.F&amp;V Crop Production details'!H77</f>
        <v>0</v>
      </c>
    </row>
    <row r="17" spans="1:8" ht="14.25" hidden="1" customHeight="1">
      <c r="A17" s="56" t="str">
        <f>'11.F&amp;V Crop Production details'!A78</f>
        <v>Potato</v>
      </c>
      <c r="B17" s="56">
        <f>'11.F&amp;V Crop Production details'!B78</f>
        <v>0</v>
      </c>
      <c r="C17" s="56">
        <f>'11.F&amp;V Crop Production details'!C78</f>
        <v>0</v>
      </c>
      <c r="D17" s="56">
        <f>'11.F&amp;V Crop Production details'!D78</f>
        <v>0</v>
      </c>
      <c r="E17" s="56">
        <f>'11.F&amp;V Crop Production details'!E78</f>
        <v>0</v>
      </c>
      <c r="F17" s="56">
        <f>'11.F&amp;V Crop Production details'!F78</f>
        <v>0</v>
      </c>
      <c r="G17" s="56">
        <f>'11.F&amp;V Crop Production details'!G78</f>
        <v>0</v>
      </c>
      <c r="H17" s="56">
        <f>'11.F&amp;V Crop Production details'!H78</f>
        <v>0</v>
      </c>
    </row>
    <row r="18" spans="1:8" ht="14.25" hidden="1" customHeight="1">
      <c r="A18" s="56">
        <f>'11.F&amp;V Crop Production details'!A79</f>
        <v>0</v>
      </c>
      <c r="B18" s="56">
        <f>'11.F&amp;V Crop Production details'!B79</f>
        <v>0</v>
      </c>
      <c r="C18" s="56">
        <f>'11.F&amp;V Crop Production details'!C79</f>
        <v>0</v>
      </c>
      <c r="D18" s="56">
        <f>'11.F&amp;V Crop Production details'!D79</f>
        <v>0</v>
      </c>
      <c r="E18" s="56">
        <f>'11.F&amp;V Crop Production details'!E79</f>
        <v>0</v>
      </c>
      <c r="F18" s="56">
        <f>'11.F&amp;V Crop Production details'!F79</f>
        <v>0</v>
      </c>
      <c r="G18" s="56">
        <f>'11.F&amp;V Crop Production details'!G79</f>
        <v>0</v>
      </c>
      <c r="H18" s="56">
        <f>'11.F&amp;V Crop Production details'!H79</f>
        <v>0</v>
      </c>
    </row>
    <row r="19" spans="1:8" ht="14.25" hidden="1" customHeight="1">
      <c r="A19" s="56">
        <f>'11.F&amp;V Crop Production details'!A80</f>
        <v>0</v>
      </c>
      <c r="B19" s="56">
        <f>'11.F&amp;V Crop Production details'!B80</f>
        <v>0</v>
      </c>
      <c r="C19" s="56">
        <f>'11.F&amp;V Crop Production details'!C80</f>
        <v>0</v>
      </c>
      <c r="D19" s="56">
        <f>'11.F&amp;V Crop Production details'!D80</f>
        <v>0</v>
      </c>
      <c r="E19" s="56">
        <f>'11.F&amp;V Crop Production details'!E80</f>
        <v>0</v>
      </c>
      <c r="F19" s="56">
        <f>'11.F&amp;V Crop Production details'!F80</f>
        <v>0</v>
      </c>
      <c r="G19" s="56">
        <f>'11.F&amp;V Crop Production details'!G80</f>
        <v>0</v>
      </c>
      <c r="H19" s="56">
        <f>'11.F&amp;V Crop Production details'!H80</f>
        <v>0</v>
      </c>
    </row>
    <row r="20" spans="1:8" ht="14.25" hidden="1" customHeight="1">
      <c r="A20" s="56">
        <f>'11.F&amp;V Crop Production details'!A81</f>
        <v>0</v>
      </c>
      <c r="B20" s="56">
        <f>'11.F&amp;V Crop Production details'!B81</f>
        <v>0</v>
      </c>
      <c r="C20" s="56">
        <f>'11.F&amp;V Crop Production details'!C81</f>
        <v>0</v>
      </c>
      <c r="D20" s="56">
        <f>'11.F&amp;V Crop Production details'!D81</f>
        <v>0</v>
      </c>
      <c r="E20" s="56">
        <f>'11.F&amp;V Crop Production details'!E81</f>
        <v>0</v>
      </c>
      <c r="F20" s="56">
        <f>'11.F&amp;V Crop Production details'!F81</f>
        <v>0</v>
      </c>
      <c r="G20" s="56">
        <f>'11.F&amp;V Crop Production details'!G81</f>
        <v>0</v>
      </c>
      <c r="H20" s="56">
        <f>'11.F&amp;V Crop Production details'!H81</f>
        <v>0</v>
      </c>
    </row>
    <row r="21" spans="1:8" ht="14.25" hidden="1" customHeight="1">
      <c r="A21" s="56">
        <f>'11.F&amp;V Crop Production details'!A82</f>
        <v>0</v>
      </c>
      <c r="B21" s="56">
        <f>'11.F&amp;V Crop Production details'!B82</f>
        <v>0</v>
      </c>
      <c r="C21" s="56">
        <f>'11.F&amp;V Crop Production details'!C82</f>
        <v>0</v>
      </c>
      <c r="D21" s="56">
        <f>'11.F&amp;V Crop Production details'!D82</f>
        <v>0</v>
      </c>
      <c r="E21" s="56">
        <f>'11.F&amp;V Crop Production details'!E82</f>
        <v>0</v>
      </c>
      <c r="F21" s="56">
        <f>'11.F&amp;V Crop Production details'!F82</f>
        <v>0</v>
      </c>
      <c r="G21" s="56">
        <f>'11.F&amp;V Crop Production details'!G82</f>
        <v>0</v>
      </c>
      <c r="H21" s="56">
        <f>'11.F&amp;V Crop Production details'!H82</f>
        <v>0</v>
      </c>
    </row>
    <row r="22" spans="1:8" ht="14.25" hidden="1" customHeight="1">
      <c r="A22" s="56" t="str">
        <f>'11.F&amp;V Crop Production details'!A83</f>
        <v>Onion</v>
      </c>
      <c r="B22" s="56">
        <f>'11.F&amp;V Crop Production details'!B83</f>
        <v>0</v>
      </c>
      <c r="C22" s="56">
        <f>'11.F&amp;V Crop Production details'!C83</f>
        <v>0</v>
      </c>
      <c r="D22" s="56">
        <f>'11.F&amp;V Crop Production details'!D83</f>
        <v>0</v>
      </c>
      <c r="E22" s="56">
        <f>'11.F&amp;V Crop Production details'!E83</f>
        <v>0</v>
      </c>
      <c r="F22" s="56">
        <f>'11.F&amp;V Crop Production details'!F83</f>
        <v>0</v>
      </c>
      <c r="G22" s="56">
        <f>'11.F&amp;V Crop Production details'!G83</f>
        <v>0</v>
      </c>
      <c r="H22" s="56">
        <f>'11.F&amp;V Crop Production details'!H83</f>
        <v>0</v>
      </c>
    </row>
    <row r="23" spans="1:8" ht="14.25" hidden="1" customHeight="1">
      <c r="A23" s="56" t="str">
        <f>'11.F&amp;V Crop Production details'!A84</f>
        <v>Tomato</v>
      </c>
      <c r="B23" s="56">
        <f>'11.F&amp;V Crop Production details'!B84</f>
        <v>0</v>
      </c>
      <c r="C23" s="56">
        <f>'11.F&amp;V Crop Production details'!C84</f>
        <v>0</v>
      </c>
      <c r="D23" s="56">
        <f>'11.F&amp;V Crop Production details'!D84</f>
        <v>0</v>
      </c>
      <c r="E23" s="56">
        <f>'11.F&amp;V Crop Production details'!E84</f>
        <v>0</v>
      </c>
      <c r="F23" s="56">
        <f>'11.F&amp;V Crop Production details'!F84</f>
        <v>0</v>
      </c>
      <c r="G23" s="56">
        <f>'11.F&amp;V Crop Production details'!G84</f>
        <v>0</v>
      </c>
      <c r="H23" s="56">
        <f>'11.F&amp;V Crop Production details'!H84</f>
        <v>0</v>
      </c>
    </row>
    <row r="24" spans="1:8" ht="14.25" hidden="1" customHeight="1">
      <c r="A24" s="56" t="str">
        <f>'11.F&amp;V Crop Production details'!A85</f>
        <v>Okra</v>
      </c>
      <c r="B24" s="56">
        <f>'11.F&amp;V Crop Production details'!B85</f>
        <v>0</v>
      </c>
      <c r="C24" s="56">
        <f>'11.F&amp;V Crop Production details'!C85</f>
        <v>0</v>
      </c>
      <c r="D24" s="56">
        <f>'11.F&amp;V Crop Production details'!D85</f>
        <v>0</v>
      </c>
      <c r="E24" s="56">
        <f>'11.F&amp;V Crop Production details'!E85</f>
        <v>0</v>
      </c>
      <c r="F24" s="56">
        <f>'11.F&amp;V Crop Production details'!F85</f>
        <v>0</v>
      </c>
      <c r="G24" s="56">
        <f>'11.F&amp;V Crop Production details'!G85</f>
        <v>0</v>
      </c>
      <c r="H24" s="56">
        <f>'11.F&amp;V Crop Production details'!H85</f>
        <v>0</v>
      </c>
    </row>
    <row r="25" spans="1:8" ht="14.25" hidden="1" customHeight="1">
      <c r="A25" s="56" t="str">
        <f>'11.F&amp;V Crop Production details'!A86</f>
        <v>Chilli</v>
      </c>
      <c r="B25" s="56">
        <f>'11.F&amp;V Crop Production details'!B86</f>
        <v>0</v>
      </c>
      <c r="C25" s="56">
        <f>'11.F&amp;V Crop Production details'!C86</f>
        <v>0</v>
      </c>
      <c r="D25" s="56">
        <f>'11.F&amp;V Crop Production details'!D86</f>
        <v>0</v>
      </c>
      <c r="E25" s="56">
        <f>'11.F&amp;V Crop Production details'!E86</f>
        <v>0</v>
      </c>
      <c r="F25" s="56">
        <f>'11.F&amp;V Crop Production details'!F86</f>
        <v>0</v>
      </c>
      <c r="G25" s="56">
        <f>'11.F&amp;V Crop Production details'!G86</f>
        <v>0</v>
      </c>
      <c r="H25" s="56">
        <f>'11.F&amp;V Crop Production details'!H86</f>
        <v>0</v>
      </c>
    </row>
    <row r="26" spans="1:8" ht="14.25" hidden="1" customHeight="1">
      <c r="A26" s="56" t="str">
        <f>'11.F&amp;V Crop Production details'!A87</f>
        <v>Brinjal</v>
      </c>
      <c r="B26" s="56">
        <f>'11.F&amp;V Crop Production details'!B87</f>
        <v>0</v>
      </c>
      <c r="C26" s="56">
        <f>'11.F&amp;V Crop Production details'!C87</f>
        <v>0</v>
      </c>
      <c r="D26" s="56">
        <f>'11.F&amp;V Crop Production details'!D87</f>
        <v>0</v>
      </c>
      <c r="E26" s="56">
        <f>'11.F&amp;V Crop Production details'!E87</f>
        <v>0</v>
      </c>
      <c r="F26" s="56">
        <f>'11.F&amp;V Crop Production details'!F87</f>
        <v>0</v>
      </c>
      <c r="G26" s="56">
        <f>'11.F&amp;V Crop Production details'!G87</f>
        <v>0</v>
      </c>
      <c r="H26" s="56">
        <f>'11.F&amp;V Crop Production details'!H87</f>
        <v>0</v>
      </c>
    </row>
    <row r="27" spans="1:8" ht="14.25" hidden="1" customHeight="1">
      <c r="A27" s="56">
        <f>'11.F&amp;V Crop Production details'!A88</f>
        <v>0</v>
      </c>
      <c r="B27" s="56">
        <f>'11.F&amp;V Crop Production details'!B88</f>
        <v>0</v>
      </c>
      <c r="C27" s="56">
        <f>'11.F&amp;V Crop Production details'!C88</f>
        <v>0</v>
      </c>
      <c r="D27" s="56">
        <f>'11.F&amp;V Crop Production details'!D88</f>
        <v>0</v>
      </c>
      <c r="E27" s="56">
        <f>'11.F&amp;V Crop Production details'!E88</f>
        <v>0</v>
      </c>
      <c r="F27" s="56">
        <f>'11.F&amp;V Crop Production details'!F88</f>
        <v>0</v>
      </c>
      <c r="G27" s="56">
        <f>'11.F&amp;V Crop Production details'!G88</f>
        <v>0</v>
      </c>
      <c r="H27" s="56">
        <f>'11.F&amp;V Crop Production details'!H88</f>
        <v>0</v>
      </c>
    </row>
    <row r="28" spans="1:8" ht="14.25" hidden="1" customHeight="1">
      <c r="A28" s="56">
        <f>'11.F&amp;V Crop Production details'!A89</f>
        <v>0</v>
      </c>
      <c r="B28" s="56">
        <f>'11.F&amp;V Crop Production details'!B89</f>
        <v>0</v>
      </c>
      <c r="C28" s="56">
        <f>'11.F&amp;V Crop Production details'!C89</f>
        <v>0</v>
      </c>
      <c r="D28" s="56">
        <f>'11.F&amp;V Crop Production details'!D89</f>
        <v>0</v>
      </c>
      <c r="E28" s="56">
        <f>'11.F&amp;V Crop Production details'!E89</f>
        <v>0</v>
      </c>
      <c r="F28" s="56">
        <f>'11.F&amp;V Crop Production details'!F89</f>
        <v>0</v>
      </c>
      <c r="G28" s="56">
        <f>'11.F&amp;V Crop Production details'!G89</f>
        <v>0</v>
      </c>
      <c r="H28" s="56">
        <f>'11.F&amp;V Crop Production details'!H89</f>
        <v>0</v>
      </c>
    </row>
    <row r="29" spans="1:8" ht="14.25" hidden="1" customHeight="1">
      <c r="A29" s="56">
        <f>'11.F&amp;V Crop Production details'!A90</f>
        <v>0</v>
      </c>
      <c r="B29" s="56">
        <f>'11.F&amp;V Crop Production details'!B90</f>
        <v>0</v>
      </c>
      <c r="C29" s="56">
        <f>'11.F&amp;V Crop Production details'!C90</f>
        <v>0</v>
      </c>
      <c r="D29" s="56">
        <f>'11.F&amp;V Crop Production details'!D90</f>
        <v>0</v>
      </c>
      <c r="E29" s="56">
        <f>'11.F&amp;V Crop Production details'!E90</f>
        <v>0</v>
      </c>
      <c r="F29" s="56">
        <f>'11.F&amp;V Crop Production details'!F90</f>
        <v>0</v>
      </c>
      <c r="G29" s="56">
        <f>'11.F&amp;V Crop Production details'!G90</f>
        <v>0</v>
      </c>
      <c r="H29" s="56">
        <f>'11.F&amp;V Crop Production details'!H90</f>
        <v>0</v>
      </c>
    </row>
    <row r="30" spans="1:8" ht="14.25" hidden="1" customHeight="1">
      <c r="A30" s="56">
        <f>'11.F&amp;V Crop Production details'!A91</f>
        <v>0</v>
      </c>
      <c r="B30" s="56">
        <f>'11.F&amp;V Crop Production details'!B91</f>
        <v>0</v>
      </c>
      <c r="C30" s="56">
        <f>'11.F&amp;V Crop Production details'!C91</f>
        <v>0</v>
      </c>
      <c r="D30" s="56">
        <f>'11.F&amp;V Crop Production details'!D91</f>
        <v>0</v>
      </c>
      <c r="E30" s="56">
        <f>'11.F&amp;V Crop Production details'!E91</f>
        <v>0</v>
      </c>
      <c r="F30" s="56">
        <f>'11.F&amp;V Crop Production details'!F91</f>
        <v>0</v>
      </c>
      <c r="G30" s="56">
        <f>'11.F&amp;V Crop Production details'!G91</f>
        <v>0</v>
      </c>
      <c r="H30" s="56">
        <f>'11.F&amp;V Crop Production details'!H91</f>
        <v>0</v>
      </c>
    </row>
    <row r="31" spans="1:8" ht="14.25" hidden="1" customHeight="1">
      <c r="A31" s="56">
        <f>'11.F&amp;V Crop Production details'!A92</f>
        <v>0</v>
      </c>
      <c r="B31" s="56">
        <f>'11.F&amp;V Crop Production details'!B92</f>
        <v>0</v>
      </c>
      <c r="C31" s="56">
        <f>'11.F&amp;V Crop Production details'!C92</f>
        <v>0</v>
      </c>
      <c r="D31" s="56">
        <f>'11.F&amp;V Crop Production details'!D92</f>
        <v>0</v>
      </c>
      <c r="E31" s="56">
        <f>'11.F&amp;V Crop Production details'!E92</f>
        <v>0</v>
      </c>
      <c r="F31" s="56">
        <f>'11.F&amp;V Crop Production details'!F92</f>
        <v>0</v>
      </c>
      <c r="G31" s="56">
        <f>'11.F&amp;V Crop Production details'!G92</f>
        <v>0</v>
      </c>
      <c r="H31" s="56">
        <f>'11.F&amp;V Crop Production details'!H92</f>
        <v>0</v>
      </c>
    </row>
    <row r="32" spans="1:8" ht="14.25" hidden="1" customHeight="1">
      <c r="A32" s="56">
        <f>'11.F&amp;V Crop Production details'!A93</f>
        <v>0</v>
      </c>
      <c r="B32" s="56">
        <f>'11.F&amp;V Crop Production details'!B93</f>
        <v>0</v>
      </c>
      <c r="C32" s="56">
        <f>'11.F&amp;V Crop Production details'!C93</f>
        <v>0</v>
      </c>
      <c r="D32" s="56">
        <f>'11.F&amp;V Crop Production details'!D93</f>
        <v>0</v>
      </c>
      <c r="E32" s="56">
        <f>'11.F&amp;V Crop Production details'!E93</f>
        <v>0</v>
      </c>
      <c r="F32" s="56">
        <f>'11.F&amp;V Crop Production details'!F93</f>
        <v>0</v>
      </c>
      <c r="G32" s="56">
        <f>'11.F&amp;V Crop Production details'!G93</f>
        <v>0</v>
      </c>
      <c r="H32" s="56">
        <f>'11.F&amp;V Crop Production details'!H93</f>
        <v>0</v>
      </c>
    </row>
    <row r="33" spans="1:8" ht="14.25" hidden="1" customHeight="1">
      <c r="A33" s="56">
        <f>'11.F&amp;V Crop Production details'!A94</f>
        <v>0</v>
      </c>
      <c r="B33" s="56">
        <f>'11.F&amp;V Crop Production details'!B94</f>
        <v>0</v>
      </c>
      <c r="C33" s="56">
        <f>'11.F&amp;V Crop Production details'!C94</f>
        <v>0</v>
      </c>
      <c r="D33" s="56">
        <f>'11.F&amp;V Crop Production details'!D94</f>
        <v>0</v>
      </c>
      <c r="E33" s="56">
        <f>'11.F&amp;V Crop Production details'!E94</f>
        <v>0</v>
      </c>
      <c r="F33" s="56">
        <f>'11.F&amp;V Crop Production details'!F94</f>
        <v>0</v>
      </c>
      <c r="G33" s="56">
        <f>'11.F&amp;V Crop Production details'!G94</f>
        <v>0</v>
      </c>
      <c r="H33" s="56">
        <f>'11.F&amp;V Crop Production details'!H94</f>
        <v>0</v>
      </c>
    </row>
    <row r="34" spans="1:8" ht="14.25" hidden="1" customHeight="1">
      <c r="A34" s="56" t="str">
        <f>'11.F&amp;V Crop Production details'!A95</f>
        <v>Pomegranate</v>
      </c>
      <c r="B34" s="56">
        <f>'11.F&amp;V Crop Production details'!B95</f>
        <v>0</v>
      </c>
      <c r="C34" s="56">
        <f>'11.F&amp;V Crop Production details'!C95</f>
        <v>0</v>
      </c>
      <c r="D34" s="56">
        <f>'11.F&amp;V Crop Production details'!D95</f>
        <v>0</v>
      </c>
      <c r="E34" s="56">
        <f>'11.F&amp;V Crop Production details'!E95</f>
        <v>0</v>
      </c>
      <c r="F34" s="56">
        <f>'11.F&amp;V Crop Production details'!F95</f>
        <v>0</v>
      </c>
      <c r="G34" s="56">
        <f>'11.F&amp;V Crop Production details'!G95</f>
        <v>0</v>
      </c>
      <c r="H34" s="56">
        <f>'11.F&amp;V Crop Production details'!H95</f>
        <v>0</v>
      </c>
    </row>
    <row r="35" spans="1:8" ht="14.25" hidden="1" customHeight="1">
      <c r="A35" s="56" t="str">
        <f>'11.F&amp;V Crop Production details'!A96</f>
        <v>Custard Apple</v>
      </c>
      <c r="B35" s="56">
        <f>'11.F&amp;V Crop Production details'!B96</f>
        <v>0</v>
      </c>
      <c r="C35" s="56">
        <f>'11.F&amp;V Crop Production details'!C96</f>
        <v>0</v>
      </c>
      <c r="D35" s="56">
        <f>'11.F&amp;V Crop Production details'!D96</f>
        <v>0</v>
      </c>
      <c r="E35" s="56">
        <f>'11.F&amp;V Crop Production details'!E96</f>
        <v>0</v>
      </c>
      <c r="F35" s="56">
        <f>'11.F&amp;V Crop Production details'!F96</f>
        <v>0</v>
      </c>
      <c r="G35" s="56">
        <f>'11.F&amp;V Crop Production details'!G96</f>
        <v>0</v>
      </c>
      <c r="H35" s="56">
        <f>'11.F&amp;V Crop Production details'!H96</f>
        <v>0</v>
      </c>
    </row>
    <row r="36" spans="1:8" ht="14.25" hidden="1" customHeight="1">
      <c r="A36" s="56" t="str">
        <f>'11.F&amp;V Crop Production details'!A97</f>
        <v>Guava</v>
      </c>
      <c r="B36" s="56">
        <f>'11.F&amp;V Crop Production details'!B97</f>
        <v>0</v>
      </c>
      <c r="C36" s="56">
        <f>'11.F&amp;V Crop Production details'!C97</f>
        <v>0</v>
      </c>
      <c r="D36" s="56">
        <f>'11.F&amp;V Crop Production details'!D97</f>
        <v>0</v>
      </c>
      <c r="E36" s="56">
        <f>'11.F&amp;V Crop Production details'!E97</f>
        <v>0</v>
      </c>
      <c r="F36" s="56">
        <f>'11.F&amp;V Crop Production details'!F97</f>
        <v>0</v>
      </c>
      <c r="G36" s="56">
        <f>'11.F&amp;V Crop Production details'!G97</f>
        <v>0</v>
      </c>
      <c r="H36" s="56">
        <f>'11.F&amp;V Crop Production details'!H97</f>
        <v>0</v>
      </c>
    </row>
    <row r="37" spans="1:8" ht="14.25" hidden="1" customHeight="1">
      <c r="A37" s="56" t="str">
        <f>'11.F&amp;V Crop Production details'!A98</f>
        <v>Citrus</v>
      </c>
      <c r="B37" s="56">
        <f>'11.F&amp;V Crop Production details'!B98</f>
        <v>0</v>
      </c>
      <c r="C37" s="56">
        <f>'11.F&amp;V Crop Production details'!C98</f>
        <v>0</v>
      </c>
      <c r="D37" s="56">
        <f>'11.F&amp;V Crop Production details'!D98</f>
        <v>0</v>
      </c>
      <c r="E37" s="56">
        <f>'11.F&amp;V Crop Production details'!E98</f>
        <v>0</v>
      </c>
      <c r="F37" s="56">
        <f>'11.F&amp;V Crop Production details'!F98</f>
        <v>0</v>
      </c>
      <c r="G37" s="56">
        <f>'11.F&amp;V Crop Production details'!G98</f>
        <v>0</v>
      </c>
      <c r="H37" s="56">
        <f>'11.F&amp;V Crop Production details'!H98</f>
        <v>0</v>
      </c>
    </row>
    <row r="38" spans="1:8" ht="14.25" customHeight="1">
      <c r="A38" s="56"/>
      <c r="B38" s="56"/>
      <c r="C38" s="56"/>
      <c r="D38" s="56"/>
      <c r="E38" s="56"/>
      <c r="F38" s="56"/>
      <c r="G38" s="56"/>
      <c r="H38" s="56"/>
    </row>
    <row r="39" spans="1:8" ht="14.25" customHeight="1">
      <c r="A39" s="56" t="s">
        <v>659</v>
      </c>
      <c r="B39" s="56">
        <f t="shared" ref="B39:H39" si="0">SUM(B13:B37)</f>
        <v>0</v>
      </c>
      <c r="C39" s="56">
        <f t="shared" si="0"/>
        <v>0</v>
      </c>
      <c r="D39" s="56">
        <f t="shared" si="0"/>
        <v>0</v>
      </c>
      <c r="E39" s="56">
        <f t="shared" si="0"/>
        <v>0</v>
      </c>
      <c r="F39" s="56">
        <f t="shared" si="0"/>
        <v>0</v>
      </c>
      <c r="G39" s="56">
        <f t="shared" si="0"/>
        <v>0</v>
      </c>
      <c r="H39" s="56">
        <f t="shared" si="0"/>
        <v>0</v>
      </c>
    </row>
    <row r="40" spans="1:8" ht="14.25" customHeight="1">
      <c r="A40" s="309" t="s">
        <v>627</v>
      </c>
      <c r="B40" s="178">
        <v>0.9</v>
      </c>
      <c r="C40" s="178">
        <f t="shared" ref="C40:H40" si="1">B40</f>
        <v>0.9</v>
      </c>
      <c r="D40" s="178">
        <f t="shared" si="1"/>
        <v>0.9</v>
      </c>
      <c r="E40" s="178">
        <f t="shared" si="1"/>
        <v>0.9</v>
      </c>
      <c r="F40" s="178">
        <f t="shared" si="1"/>
        <v>0.9</v>
      </c>
      <c r="G40" s="178">
        <f t="shared" si="1"/>
        <v>0.9</v>
      </c>
      <c r="H40" s="178">
        <f t="shared" si="1"/>
        <v>0.9</v>
      </c>
    </row>
    <row r="41" spans="1:8" ht="14.25" customHeight="1">
      <c r="A41" s="56" t="s">
        <v>660</v>
      </c>
      <c r="B41" s="171">
        <f t="shared" ref="B41:H41" si="2">1-B40</f>
        <v>9.9999999999999978E-2</v>
      </c>
      <c r="C41" s="171">
        <f t="shared" si="2"/>
        <v>9.9999999999999978E-2</v>
      </c>
      <c r="D41" s="171">
        <f t="shared" si="2"/>
        <v>9.9999999999999978E-2</v>
      </c>
      <c r="E41" s="171">
        <f t="shared" si="2"/>
        <v>9.9999999999999978E-2</v>
      </c>
      <c r="F41" s="171">
        <f t="shared" si="2"/>
        <v>9.9999999999999978E-2</v>
      </c>
      <c r="G41" s="171">
        <f t="shared" si="2"/>
        <v>9.9999999999999978E-2</v>
      </c>
      <c r="H41" s="171">
        <f t="shared" si="2"/>
        <v>9.9999999999999978E-2</v>
      </c>
    </row>
    <row r="42" spans="1:8" ht="14.25" customHeight="1">
      <c r="A42" s="98" t="s">
        <v>627</v>
      </c>
      <c r="B42" s="310">
        <f t="shared" ref="B42:H42" si="3">B39*B40</f>
        <v>0</v>
      </c>
      <c r="C42" s="310">
        <f t="shared" si="3"/>
        <v>0</v>
      </c>
      <c r="D42" s="310">
        <f t="shared" si="3"/>
        <v>0</v>
      </c>
      <c r="E42" s="310">
        <f t="shared" si="3"/>
        <v>0</v>
      </c>
      <c r="F42" s="310">
        <f t="shared" si="3"/>
        <v>0</v>
      </c>
      <c r="G42" s="310">
        <f t="shared" si="3"/>
        <v>0</v>
      </c>
      <c r="H42" s="310">
        <f t="shared" si="3"/>
        <v>0</v>
      </c>
    </row>
    <row r="43" spans="1:8" ht="14.25" customHeight="1">
      <c r="A43" s="98" t="s">
        <v>628</v>
      </c>
      <c r="B43" s="99"/>
      <c r="C43" s="99"/>
      <c r="D43" s="99"/>
      <c r="E43" s="99"/>
      <c r="F43" s="99"/>
      <c r="G43" s="99"/>
      <c r="H43" s="99"/>
    </row>
    <row r="44" spans="1:8" ht="14.25" customHeight="1">
      <c r="A44" s="56" t="str">
        <f t="shared" ref="A44:A61" si="4">A13</f>
        <v>Bengal Gram</v>
      </c>
      <c r="B44" s="97">
        <f t="shared" ref="B44:B61" si="5">B13*$B$41</f>
        <v>0</v>
      </c>
      <c r="C44" s="97">
        <f t="shared" ref="C44:C61" si="6">C13*$C$41</f>
        <v>0</v>
      </c>
      <c r="D44" s="97">
        <f t="shared" ref="D44:D61" si="7">D13*$D$41</f>
        <v>0</v>
      </c>
      <c r="E44" s="97">
        <f t="shared" ref="E44:E61" si="8">E13*$E$41</f>
        <v>0</v>
      </c>
      <c r="F44" s="97">
        <f t="shared" ref="F44:F61" si="9">F13*$F$41</f>
        <v>0</v>
      </c>
      <c r="G44" s="97">
        <f t="shared" ref="G44:G61" si="10">G13*$G$41</f>
        <v>0</v>
      </c>
      <c r="H44" s="97">
        <f t="shared" ref="H44:H61" si="11">H13*$H$41</f>
        <v>0</v>
      </c>
    </row>
    <row r="45" spans="1:8" ht="14.25" hidden="1" customHeight="1">
      <c r="A45" s="56" t="str">
        <f t="shared" si="4"/>
        <v>Tomato</v>
      </c>
      <c r="B45" s="97">
        <f t="shared" si="5"/>
        <v>0</v>
      </c>
      <c r="C45" s="97">
        <f t="shared" si="6"/>
        <v>0</v>
      </c>
      <c r="D45" s="97">
        <f t="shared" si="7"/>
        <v>0</v>
      </c>
      <c r="E45" s="97">
        <f t="shared" si="8"/>
        <v>0</v>
      </c>
      <c r="F45" s="97">
        <f t="shared" si="9"/>
        <v>0</v>
      </c>
      <c r="G45" s="97">
        <f t="shared" si="10"/>
        <v>0</v>
      </c>
      <c r="H45" s="97">
        <f t="shared" si="11"/>
        <v>0</v>
      </c>
    </row>
    <row r="46" spans="1:8" ht="14.25" hidden="1" customHeight="1">
      <c r="A46" s="56" t="str">
        <f t="shared" si="4"/>
        <v>Okra</v>
      </c>
      <c r="B46" s="97">
        <f t="shared" si="5"/>
        <v>0</v>
      </c>
      <c r="C46" s="97">
        <f t="shared" si="6"/>
        <v>0</v>
      </c>
      <c r="D46" s="97">
        <f t="shared" si="7"/>
        <v>0</v>
      </c>
      <c r="E46" s="97">
        <f t="shared" si="8"/>
        <v>0</v>
      </c>
      <c r="F46" s="97">
        <f t="shared" si="9"/>
        <v>0</v>
      </c>
      <c r="G46" s="97">
        <f t="shared" si="10"/>
        <v>0</v>
      </c>
      <c r="H46" s="97">
        <f t="shared" si="11"/>
        <v>0</v>
      </c>
    </row>
    <row r="47" spans="1:8" ht="14.25" hidden="1" customHeight="1">
      <c r="A47" s="56" t="str">
        <f t="shared" si="4"/>
        <v>Chilli</v>
      </c>
      <c r="B47" s="97">
        <f t="shared" si="5"/>
        <v>0</v>
      </c>
      <c r="C47" s="97">
        <f t="shared" si="6"/>
        <v>0</v>
      </c>
      <c r="D47" s="97">
        <f t="shared" si="7"/>
        <v>0</v>
      </c>
      <c r="E47" s="97">
        <f t="shared" si="8"/>
        <v>0</v>
      </c>
      <c r="F47" s="97">
        <f t="shared" si="9"/>
        <v>0</v>
      </c>
      <c r="G47" s="97">
        <f t="shared" si="10"/>
        <v>0</v>
      </c>
      <c r="H47" s="97">
        <f t="shared" si="11"/>
        <v>0</v>
      </c>
    </row>
    <row r="48" spans="1:8" ht="14.25" hidden="1" customHeight="1">
      <c r="A48" s="56" t="str">
        <f t="shared" si="4"/>
        <v>Potato</v>
      </c>
      <c r="B48" s="97">
        <f t="shared" si="5"/>
        <v>0</v>
      </c>
      <c r="C48" s="97">
        <f t="shared" si="6"/>
        <v>0</v>
      </c>
      <c r="D48" s="97">
        <f t="shared" si="7"/>
        <v>0</v>
      </c>
      <c r="E48" s="97">
        <f t="shared" si="8"/>
        <v>0</v>
      </c>
      <c r="F48" s="97">
        <f t="shared" si="9"/>
        <v>0</v>
      </c>
      <c r="G48" s="97">
        <f t="shared" si="10"/>
        <v>0</v>
      </c>
      <c r="H48" s="97">
        <f t="shared" si="11"/>
        <v>0</v>
      </c>
    </row>
    <row r="49" spans="1:8" ht="14.25" hidden="1" customHeight="1">
      <c r="A49" s="56">
        <f t="shared" si="4"/>
        <v>0</v>
      </c>
      <c r="B49" s="97">
        <f t="shared" si="5"/>
        <v>0</v>
      </c>
      <c r="C49" s="97">
        <f t="shared" si="6"/>
        <v>0</v>
      </c>
      <c r="D49" s="97">
        <f t="shared" si="7"/>
        <v>0</v>
      </c>
      <c r="E49" s="97">
        <f t="shared" si="8"/>
        <v>0</v>
      </c>
      <c r="F49" s="97">
        <f t="shared" si="9"/>
        <v>0</v>
      </c>
      <c r="G49" s="97">
        <f t="shared" si="10"/>
        <v>0</v>
      </c>
      <c r="H49" s="97">
        <f t="shared" si="11"/>
        <v>0</v>
      </c>
    </row>
    <row r="50" spans="1:8" ht="14.25" hidden="1" customHeight="1">
      <c r="A50" s="56">
        <f t="shared" si="4"/>
        <v>0</v>
      </c>
      <c r="B50" s="97">
        <f t="shared" si="5"/>
        <v>0</v>
      </c>
      <c r="C50" s="97">
        <f t="shared" si="6"/>
        <v>0</v>
      </c>
      <c r="D50" s="97">
        <f t="shared" si="7"/>
        <v>0</v>
      </c>
      <c r="E50" s="97">
        <f t="shared" si="8"/>
        <v>0</v>
      </c>
      <c r="F50" s="97">
        <f t="shared" si="9"/>
        <v>0</v>
      </c>
      <c r="G50" s="97">
        <f t="shared" si="10"/>
        <v>0</v>
      </c>
      <c r="H50" s="97">
        <f t="shared" si="11"/>
        <v>0</v>
      </c>
    </row>
    <row r="51" spans="1:8" ht="14.25" hidden="1" customHeight="1">
      <c r="A51" s="56">
        <f t="shared" si="4"/>
        <v>0</v>
      </c>
      <c r="B51" s="97">
        <f t="shared" si="5"/>
        <v>0</v>
      </c>
      <c r="C51" s="97">
        <f t="shared" si="6"/>
        <v>0</v>
      </c>
      <c r="D51" s="97">
        <f t="shared" si="7"/>
        <v>0</v>
      </c>
      <c r="E51" s="97">
        <f t="shared" si="8"/>
        <v>0</v>
      </c>
      <c r="F51" s="97">
        <f t="shared" si="9"/>
        <v>0</v>
      </c>
      <c r="G51" s="97">
        <f t="shared" si="10"/>
        <v>0</v>
      </c>
      <c r="H51" s="97">
        <f t="shared" si="11"/>
        <v>0</v>
      </c>
    </row>
    <row r="52" spans="1:8" ht="14.25" hidden="1" customHeight="1">
      <c r="A52" s="56">
        <f t="shared" si="4"/>
        <v>0</v>
      </c>
      <c r="B52" s="97">
        <f t="shared" si="5"/>
        <v>0</v>
      </c>
      <c r="C52" s="97">
        <f t="shared" si="6"/>
        <v>0</v>
      </c>
      <c r="D52" s="97">
        <f t="shared" si="7"/>
        <v>0</v>
      </c>
      <c r="E52" s="97">
        <f t="shared" si="8"/>
        <v>0</v>
      </c>
      <c r="F52" s="97">
        <f t="shared" si="9"/>
        <v>0</v>
      </c>
      <c r="G52" s="97">
        <f t="shared" si="10"/>
        <v>0</v>
      </c>
      <c r="H52" s="97">
        <f t="shared" si="11"/>
        <v>0</v>
      </c>
    </row>
    <row r="53" spans="1:8" ht="14.25" hidden="1" customHeight="1">
      <c r="A53" s="56" t="str">
        <f t="shared" si="4"/>
        <v>Onion</v>
      </c>
      <c r="B53" s="97">
        <f t="shared" si="5"/>
        <v>0</v>
      </c>
      <c r="C53" s="97">
        <f t="shared" si="6"/>
        <v>0</v>
      </c>
      <c r="D53" s="97">
        <f t="shared" si="7"/>
        <v>0</v>
      </c>
      <c r="E53" s="97">
        <f t="shared" si="8"/>
        <v>0</v>
      </c>
      <c r="F53" s="97">
        <f t="shared" si="9"/>
        <v>0</v>
      </c>
      <c r="G53" s="97">
        <f t="shared" si="10"/>
        <v>0</v>
      </c>
      <c r="H53" s="97">
        <f t="shared" si="11"/>
        <v>0</v>
      </c>
    </row>
    <row r="54" spans="1:8" ht="14.25" hidden="1" customHeight="1">
      <c r="A54" s="56" t="str">
        <f t="shared" si="4"/>
        <v>Tomato</v>
      </c>
      <c r="B54" s="97">
        <f t="shared" si="5"/>
        <v>0</v>
      </c>
      <c r="C54" s="97">
        <f t="shared" si="6"/>
        <v>0</v>
      </c>
      <c r="D54" s="97">
        <f t="shared" si="7"/>
        <v>0</v>
      </c>
      <c r="E54" s="97">
        <f t="shared" si="8"/>
        <v>0</v>
      </c>
      <c r="F54" s="97">
        <f t="shared" si="9"/>
        <v>0</v>
      </c>
      <c r="G54" s="97">
        <f t="shared" si="10"/>
        <v>0</v>
      </c>
      <c r="H54" s="97">
        <f t="shared" si="11"/>
        <v>0</v>
      </c>
    </row>
    <row r="55" spans="1:8" ht="14.25" hidden="1" customHeight="1">
      <c r="A55" s="56" t="str">
        <f t="shared" si="4"/>
        <v>Okra</v>
      </c>
      <c r="B55" s="97">
        <f t="shared" si="5"/>
        <v>0</v>
      </c>
      <c r="C55" s="97">
        <f t="shared" si="6"/>
        <v>0</v>
      </c>
      <c r="D55" s="97">
        <f t="shared" si="7"/>
        <v>0</v>
      </c>
      <c r="E55" s="97">
        <f t="shared" si="8"/>
        <v>0</v>
      </c>
      <c r="F55" s="97">
        <f t="shared" si="9"/>
        <v>0</v>
      </c>
      <c r="G55" s="97">
        <f t="shared" si="10"/>
        <v>0</v>
      </c>
      <c r="H55" s="97">
        <f t="shared" si="11"/>
        <v>0</v>
      </c>
    </row>
    <row r="56" spans="1:8" ht="14.25" hidden="1" customHeight="1">
      <c r="A56" s="56" t="str">
        <f t="shared" si="4"/>
        <v>Chilli</v>
      </c>
      <c r="B56" s="97">
        <f t="shared" si="5"/>
        <v>0</v>
      </c>
      <c r="C56" s="97">
        <f t="shared" si="6"/>
        <v>0</v>
      </c>
      <c r="D56" s="97">
        <f t="shared" si="7"/>
        <v>0</v>
      </c>
      <c r="E56" s="97">
        <f t="shared" si="8"/>
        <v>0</v>
      </c>
      <c r="F56" s="97">
        <f t="shared" si="9"/>
        <v>0</v>
      </c>
      <c r="G56" s="97">
        <f t="shared" si="10"/>
        <v>0</v>
      </c>
      <c r="H56" s="97">
        <f t="shared" si="11"/>
        <v>0</v>
      </c>
    </row>
    <row r="57" spans="1:8" ht="14.25" hidden="1" customHeight="1">
      <c r="A57" s="56" t="str">
        <f t="shared" si="4"/>
        <v>Brinjal</v>
      </c>
      <c r="B57" s="97">
        <f t="shared" si="5"/>
        <v>0</v>
      </c>
      <c r="C57" s="97">
        <f t="shared" si="6"/>
        <v>0</v>
      </c>
      <c r="D57" s="97">
        <f t="shared" si="7"/>
        <v>0</v>
      </c>
      <c r="E57" s="97">
        <f t="shared" si="8"/>
        <v>0</v>
      </c>
      <c r="F57" s="97">
        <f t="shared" si="9"/>
        <v>0</v>
      </c>
      <c r="G57" s="97">
        <f t="shared" si="10"/>
        <v>0</v>
      </c>
      <c r="H57" s="97">
        <f t="shared" si="11"/>
        <v>0</v>
      </c>
    </row>
    <row r="58" spans="1:8" ht="14.25" hidden="1" customHeight="1">
      <c r="A58" s="56">
        <f t="shared" si="4"/>
        <v>0</v>
      </c>
      <c r="B58" s="97">
        <f t="shared" si="5"/>
        <v>0</v>
      </c>
      <c r="C58" s="97">
        <f t="shared" si="6"/>
        <v>0</v>
      </c>
      <c r="D58" s="97">
        <f t="shared" si="7"/>
        <v>0</v>
      </c>
      <c r="E58" s="97">
        <f t="shared" si="8"/>
        <v>0</v>
      </c>
      <c r="F58" s="97">
        <f t="shared" si="9"/>
        <v>0</v>
      </c>
      <c r="G58" s="97">
        <f t="shared" si="10"/>
        <v>0</v>
      </c>
      <c r="H58" s="97">
        <f t="shared" si="11"/>
        <v>0</v>
      </c>
    </row>
    <row r="59" spans="1:8" ht="14.25" hidden="1" customHeight="1">
      <c r="A59" s="56">
        <f t="shared" si="4"/>
        <v>0</v>
      </c>
      <c r="B59" s="97">
        <f t="shared" si="5"/>
        <v>0</v>
      </c>
      <c r="C59" s="97">
        <f t="shared" si="6"/>
        <v>0</v>
      </c>
      <c r="D59" s="97">
        <f t="shared" si="7"/>
        <v>0</v>
      </c>
      <c r="E59" s="97">
        <f t="shared" si="8"/>
        <v>0</v>
      </c>
      <c r="F59" s="97">
        <f t="shared" si="9"/>
        <v>0</v>
      </c>
      <c r="G59" s="97">
        <f t="shared" si="10"/>
        <v>0</v>
      </c>
      <c r="H59" s="97">
        <f t="shared" si="11"/>
        <v>0</v>
      </c>
    </row>
    <row r="60" spans="1:8" ht="14.25" hidden="1" customHeight="1">
      <c r="A60" s="56">
        <f t="shared" si="4"/>
        <v>0</v>
      </c>
      <c r="B60" s="97">
        <f t="shared" si="5"/>
        <v>0</v>
      </c>
      <c r="C60" s="97">
        <f t="shared" si="6"/>
        <v>0</v>
      </c>
      <c r="D60" s="97">
        <f t="shared" si="7"/>
        <v>0</v>
      </c>
      <c r="E60" s="97">
        <f t="shared" si="8"/>
        <v>0</v>
      </c>
      <c r="F60" s="97">
        <f t="shared" si="9"/>
        <v>0</v>
      </c>
      <c r="G60" s="97">
        <f t="shared" si="10"/>
        <v>0</v>
      </c>
      <c r="H60" s="97">
        <f t="shared" si="11"/>
        <v>0</v>
      </c>
    </row>
    <row r="61" spans="1:8" ht="14.25" hidden="1" customHeight="1">
      <c r="A61" s="56">
        <f t="shared" si="4"/>
        <v>0</v>
      </c>
      <c r="B61" s="97">
        <f t="shared" si="5"/>
        <v>0</v>
      </c>
      <c r="C61" s="97">
        <f t="shared" si="6"/>
        <v>0</v>
      </c>
      <c r="D61" s="97">
        <f t="shared" si="7"/>
        <v>0</v>
      </c>
      <c r="E61" s="97">
        <f t="shared" si="8"/>
        <v>0</v>
      </c>
      <c r="F61" s="97">
        <f t="shared" si="9"/>
        <v>0</v>
      </c>
      <c r="G61" s="97">
        <f t="shared" si="10"/>
        <v>0</v>
      </c>
      <c r="H61" s="97">
        <f t="shared" si="11"/>
        <v>0</v>
      </c>
    </row>
    <row r="62" spans="1:8" ht="14.25" hidden="1" customHeight="1">
      <c r="A62" s="56" t="str">
        <f t="shared" ref="A62:A65" si="12">A34</f>
        <v>Pomegranate</v>
      </c>
      <c r="B62" s="97">
        <f t="shared" ref="B62:H62" si="13">B34*$B$41</f>
        <v>0</v>
      </c>
      <c r="C62" s="97">
        <f t="shared" si="13"/>
        <v>0</v>
      </c>
      <c r="D62" s="97">
        <f t="shared" si="13"/>
        <v>0</v>
      </c>
      <c r="E62" s="97">
        <f t="shared" si="13"/>
        <v>0</v>
      </c>
      <c r="F62" s="97">
        <f t="shared" si="13"/>
        <v>0</v>
      </c>
      <c r="G62" s="97">
        <f t="shared" si="13"/>
        <v>0</v>
      </c>
      <c r="H62" s="97">
        <f t="shared" si="13"/>
        <v>0</v>
      </c>
    </row>
    <row r="63" spans="1:8" ht="14.25" hidden="1" customHeight="1">
      <c r="A63" s="56" t="str">
        <f t="shared" si="12"/>
        <v>Custard Apple</v>
      </c>
      <c r="B63" s="97">
        <f t="shared" ref="B63:H63" si="14">B35*$B$41</f>
        <v>0</v>
      </c>
      <c r="C63" s="97">
        <f t="shared" si="14"/>
        <v>0</v>
      </c>
      <c r="D63" s="97">
        <f t="shared" si="14"/>
        <v>0</v>
      </c>
      <c r="E63" s="97">
        <f t="shared" si="14"/>
        <v>0</v>
      </c>
      <c r="F63" s="97">
        <f t="shared" si="14"/>
        <v>0</v>
      </c>
      <c r="G63" s="97">
        <f t="shared" si="14"/>
        <v>0</v>
      </c>
      <c r="H63" s="97">
        <f t="shared" si="14"/>
        <v>0</v>
      </c>
    </row>
    <row r="64" spans="1:8" ht="14.25" hidden="1" customHeight="1">
      <c r="A64" s="56" t="str">
        <f t="shared" si="12"/>
        <v>Guava</v>
      </c>
      <c r="B64" s="97">
        <f t="shared" ref="B64:H64" si="15">B36*$B$41</f>
        <v>0</v>
      </c>
      <c r="C64" s="97">
        <f t="shared" si="15"/>
        <v>0</v>
      </c>
      <c r="D64" s="97">
        <f t="shared" si="15"/>
        <v>0</v>
      </c>
      <c r="E64" s="97">
        <f t="shared" si="15"/>
        <v>0</v>
      </c>
      <c r="F64" s="97">
        <f t="shared" si="15"/>
        <v>0</v>
      </c>
      <c r="G64" s="97">
        <f t="shared" si="15"/>
        <v>0</v>
      </c>
      <c r="H64" s="97">
        <f t="shared" si="15"/>
        <v>0</v>
      </c>
    </row>
    <row r="65" spans="1:8" ht="14.25" hidden="1" customHeight="1">
      <c r="A65" s="56" t="str">
        <f t="shared" si="12"/>
        <v>Citrus</v>
      </c>
      <c r="B65" s="97">
        <f t="shared" ref="B65:H65" si="16">B37*$B$41</f>
        <v>0</v>
      </c>
      <c r="C65" s="97">
        <f t="shared" si="16"/>
        <v>0</v>
      </c>
      <c r="D65" s="97">
        <f t="shared" si="16"/>
        <v>0</v>
      </c>
      <c r="E65" s="97">
        <f t="shared" si="16"/>
        <v>0</v>
      </c>
      <c r="F65" s="97">
        <f t="shared" si="16"/>
        <v>0</v>
      </c>
      <c r="G65" s="97">
        <f t="shared" si="16"/>
        <v>0</v>
      </c>
      <c r="H65" s="97">
        <f t="shared" si="16"/>
        <v>0</v>
      </c>
    </row>
    <row r="66" spans="1:8" ht="14.25" customHeight="1">
      <c r="A66" s="98" t="s">
        <v>661</v>
      </c>
      <c r="B66" s="56"/>
      <c r="C66" s="56"/>
      <c r="D66" s="56"/>
      <c r="E66" s="56"/>
      <c r="F66" s="56"/>
      <c r="G66" s="56"/>
      <c r="H66" s="56"/>
    </row>
    <row r="67" spans="1:8" ht="14.25" customHeight="1">
      <c r="A67" s="56" t="s">
        <v>751</v>
      </c>
      <c r="B67" s="302">
        <f t="shared" ref="B67:H67" si="17">B44*90%</f>
        <v>0</v>
      </c>
      <c r="C67" s="302">
        <f t="shared" si="17"/>
        <v>0</v>
      </c>
      <c r="D67" s="302">
        <f t="shared" si="17"/>
        <v>0</v>
      </c>
      <c r="E67" s="302">
        <f t="shared" si="17"/>
        <v>0</v>
      </c>
      <c r="F67" s="302">
        <f t="shared" si="17"/>
        <v>0</v>
      </c>
      <c r="G67" s="302">
        <f t="shared" si="17"/>
        <v>0</v>
      </c>
      <c r="H67" s="302">
        <f t="shared" si="17"/>
        <v>0</v>
      </c>
    </row>
    <row r="68" spans="1:8" ht="14.25" hidden="1" customHeight="1">
      <c r="A68" s="56"/>
      <c r="B68" s="302"/>
      <c r="C68" s="302"/>
      <c r="D68" s="302"/>
      <c r="E68" s="302"/>
      <c r="F68" s="302"/>
      <c r="G68" s="302"/>
      <c r="H68" s="302"/>
    </row>
    <row r="69" spans="1:8" ht="14.25" hidden="1" customHeight="1">
      <c r="A69" s="56"/>
      <c r="B69" s="302"/>
      <c r="C69" s="302"/>
      <c r="D69" s="302"/>
      <c r="E69" s="302"/>
      <c r="F69" s="302"/>
      <c r="G69" s="302"/>
      <c r="H69" s="302"/>
    </row>
    <row r="70" spans="1:8" ht="14.25" hidden="1" customHeight="1">
      <c r="A70" s="56"/>
      <c r="B70" s="302"/>
      <c r="C70" s="302"/>
      <c r="D70" s="302"/>
      <c r="E70" s="302"/>
      <c r="F70" s="302"/>
      <c r="G70" s="302"/>
      <c r="H70" s="302"/>
    </row>
    <row r="71" spans="1:8" ht="14.25" hidden="1" customHeight="1">
      <c r="A71" s="56" t="str">
        <f>A45</f>
        <v>Tomato</v>
      </c>
      <c r="B71" s="97"/>
      <c r="C71" s="97"/>
      <c r="D71" s="97"/>
      <c r="E71" s="97"/>
      <c r="F71" s="97"/>
      <c r="G71" s="97"/>
      <c r="H71" s="97"/>
    </row>
    <row r="72" spans="1:8" ht="14.25" hidden="1" customHeight="1">
      <c r="A72" s="56"/>
      <c r="B72" s="97"/>
      <c r="C72" s="97"/>
      <c r="D72" s="97"/>
      <c r="E72" s="97"/>
      <c r="F72" s="97"/>
      <c r="G72" s="97"/>
      <c r="H72" s="97"/>
    </row>
    <row r="73" spans="1:8" ht="14.25" hidden="1" customHeight="1">
      <c r="A73" s="56"/>
      <c r="B73" s="97"/>
      <c r="C73" s="97"/>
      <c r="D73" s="97"/>
      <c r="E73" s="97"/>
      <c r="F73" s="97"/>
      <c r="G73" s="97"/>
      <c r="H73" s="97"/>
    </row>
    <row r="74" spans="1:8" ht="14.25" hidden="1" customHeight="1">
      <c r="A74" s="56"/>
      <c r="B74" s="97"/>
      <c r="C74" s="97"/>
      <c r="D74" s="97"/>
      <c r="E74" s="97"/>
      <c r="F74" s="97"/>
      <c r="G74" s="97"/>
      <c r="H74" s="97"/>
    </row>
    <row r="75" spans="1:8" ht="14.25" hidden="1" customHeight="1">
      <c r="A75" s="56" t="str">
        <f>A46</f>
        <v>Okra</v>
      </c>
      <c r="B75" s="97"/>
      <c r="C75" s="97"/>
      <c r="D75" s="97"/>
      <c r="E75" s="97"/>
      <c r="F75" s="97"/>
      <c r="G75" s="97"/>
      <c r="H75" s="97"/>
    </row>
    <row r="76" spans="1:8" ht="14.25" hidden="1" customHeight="1">
      <c r="A76" s="56"/>
      <c r="B76" s="97"/>
      <c r="C76" s="97"/>
      <c r="D76" s="97"/>
      <c r="E76" s="97"/>
      <c r="F76" s="97"/>
      <c r="G76" s="97"/>
      <c r="H76" s="97"/>
    </row>
    <row r="77" spans="1:8" ht="14.25" hidden="1" customHeight="1">
      <c r="A77" s="56"/>
      <c r="B77" s="97"/>
      <c r="C77" s="97"/>
      <c r="D77" s="97"/>
      <c r="E77" s="97"/>
      <c r="F77" s="97"/>
      <c r="G77" s="97"/>
      <c r="H77" s="97"/>
    </row>
    <row r="78" spans="1:8" ht="14.25" hidden="1" customHeight="1">
      <c r="A78" s="56"/>
      <c r="B78" s="97"/>
      <c r="C78" s="97"/>
      <c r="D78" s="97"/>
      <c r="E78" s="97"/>
      <c r="F78" s="97"/>
      <c r="G78" s="97"/>
      <c r="H78" s="97"/>
    </row>
    <row r="79" spans="1:8" ht="14.25" hidden="1" customHeight="1">
      <c r="A79" s="56" t="str">
        <f>A47</f>
        <v>Chilli</v>
      </c>
      <c r="B79" s="97"/>
      <c r="C79" s="97"/>
      <c r="D79" s="97"/>
      <c r="E79" s="97"/>
      <c r="F79" s="97"/>
      <c r="G79" s="97"/>
      <c r="H79" s="97"/>
    </row>
    <row r="80" spans="1:8" ht="14.25" hidden="1" customHeight="1">
      <c r="A80" s="56"/>
      <c r="B80" s="97"/>
      <c r="C80" s="97"/>
      <c r="D80" s="97"/>
      <c r="E80" s="97"/>
      <c r="F80" s="97"/>
      <c r="G80" s="97"/>
      <c r="H80" s="97"/>
    </row>
    <row r="81" spans="1:8" ht="14.25" hidden="1" customHeight="1">
      <c r="A81" s="56"/>
      <c r="B81" s="97"/>
      <c r="C81" s="97"/>
      <c r="D81" s="97"/>
      <c r="E81" s="97"/>
      <c r="F81" s="97"/>
      <c r="G81" s="97"/>
      <c r="H81" s="97"/>
    </row>
    <row r="82" spans="1:8" ht="14.25" hidden="1" customHeight="1">
      <c r="A82" s="56"/>
      <c r="B82" s="97"/>
      <c r="C82" s="97"/>
      <c r="D82" s="97"/>
      <c r="E82" s="97"/>
      <c r="F82" s="97"/>
      <c r="G82" s="97"/>
      <c r="H82" s="97"/>
    </row>
    <row r="83" spans="1:8" ht="14.25" hidden="1" customHeight="1">
      <c r="A83" s="56" t="str">
        <f>A48</f>
        <v>Potato</v>
      </c>
      <c r="B83" s="97"/>
      <c r="C83" s="97"/>
      <c r="D83" s="97"/>
      <c r="E83" s="97"/>
      <c r="F83" s="97"/>
      <c r="G83" s="97"/>
      <c r="H83" s="97"/>
    </row>
    <row r="84" spans="1:8" ht="14.25" hidden="1" customHeight="1">
      <c r="A84" s="56"/>
      <c r="B84" s="97"/>
      <c r="C84" s="97"/>
      <c r="D84" s="97"/>
      <c r="E84" s="97"/>
      <c r="F84" s="97"/>
      <c r="G84" s="97"/>
      <c r="H84" s="97"/>
    </row>
    <row r="85" spans="1:8" ht="14.25" hidden="1" customHeight="1">
      <c r="A85" s="56"/>
      <c r="B85" s="97"/>
      <c r="C85" s="97"/>
      <c r="D85" s="97"/>
      <c r="E85" s="97"/>
      <c r="F85" s="97"/>
      <c r="G85" s="97"/>
      <c r="H85" s="97"/>
    </row>
    <row r="86" spans="1:8" ht="14.25" hidden="1" customHeight="1">
      <c r="A86" s="56"/>
      <c r="B86" s="97"/>
      <c r="C86" s="97"/>
      <c r="D86" s="97"/>
      <c r="E86" s="97"/>
      <c r="F86" s="97"/>
      <c r="G86" s="97"/>
      <c r="H86" s="97"/>
    </row>
    <row r="87" spans="1:8" ht="14.25" hidden="1" customHeight="1">
      <c r="A87" s="56">
        <f>A49</f>
        <v>0</v>
      </c>
      <c r="B87" s="97"/>
      <c r="C87" s="97"/>
      <c r="D87" s="97"/>
      <c r="E87" s="97"/>
      <c r="F87" s="97"/>
      <c r="G87" s="97"/>
      <c r="H87" s="97"/>
    </row>
    <row r="88" spans="1:8" ht="14.25" hidden="1" customHeight="1">
      <c r="A88" s="56"/>
      <c r="B88" s="97"/>
      <c r="C88" s="97"/>
      <c r="D88" s="97"/>
      <c r="E88" s="97"/>
      <c r="F88" s="97"/>
      <c r="G88" s="97"/>
      <c r="H88" s="97"/>
    </row>
    <row r="89" spans="1:8" ht="14.25" hidden="1" customHeight="1">
      <c r="A89" s="56"/>
      <c r="B89" s="97"/>
      <c r="C89" s="97"/>
      <c r="D89" s="97"/>
      <c r="E89" s="97"/>
      <c r="F89" s="97"/>
      <c r="G89" s="97"/>
      <c r="H89" s="97"/>
    </row>
    <row r="90" spans="1:8" ht="14.25" hidden="1" customHeight="1">
      <c r="A90" s="56"/>
      <c r="B90" s="97"/>
      <c r="C90" s="97"/>
      <c r="D90" s="97"/>
      <c r="E90" s="97"/>
      <c r="F90" s="97"/>
      <c r="G90" s="97"/>
      <c r="H90" s="97"/>
    </row>
    <row r="91" spans="1:8" ht="14.25" hidden="1" customHeight="1">
      <c r="A91" s="56">
        <f>A50</f>
        <v>0</v>
      </c>
      <c r="B91" s="97"/>
      <c r="C91" s="97"/>
      <c r="D91" s="97"/>
      <c r="E91" s="97"/>
      <c r="F91" s="97"/>
      <c r="G91" s="97"/>
      <c r="H91" s="97"/>
    </row>
    <row r="92" spans="1:8" ht="14.25" hidden="1" customHeight="1">
      <c r="A92" s="56"/>
      <c r="B92" s="97"/>
      <c r="C92" s="97"/>
      <c r="D92" s="97"/>
      <c r="E92" s="97"/>
      <c r="F92" s="97"/>
      <c r="G92" s="97"/>
      <c r="H92" s="97"/>
    </row>
    <row r="93" spans="1:8" ht="14.25" hidden="1" customHeight="1">
      <c r="A93" s="56"/>
      <c r="B93" s="97"/>
      <c r="C93" s="97"/>
      <c r="D93" s="97"/>
      <c r="E93" s="97"/>
      <c r="F93" s="97"/>
      <c r="G93" s="97"/>
      <c r="H93" s="97"/>
    </row>
    <row r="94" spans="1:8" ht="14.25" hidden="1" customHeight="1">
      <c r="A94" s="56">
        <f>A51</f>
        <v>0</v>
      </c>
      <c r="B94" s="97"/>
      <c r="C94" s="97"/>
      <c r="D94" s="97"/>
      <c r="E94" s="97"/>
      <c r="F94" s="97"/>
      <c r="G94" s="97"/>
      <c r="H94" s="97"/>
    </row>
    <row r="95" spans="1:8" ht="14.25" hidden="1" customHeight="1">
      <c r="A95" s="56"/>
      <c r="B95" s="97"/>
      <c r="C95" s="97"/>
      <c r="D95" s="97"/>
      <c r="E95" s="97"/>
      <c r="F95" s="97"/>
      <c r="G95" s="97"/>
      <c r="H95" s="97"/>
    </row>
    <row r="96" spans="1:8" ht="14.25" hidden="1" customHeight="1">
      <c r="A96" s="56"/>
      <c r="B96" s="97"/>
      <c r="C96" s="97"/>
      <c r="D96" s="97"/>
      <c r="E96" s="97"/>
      <c r="F96" s="97"/>
      <c r="G96" s="97"/>
      <c r="H96" s="97"/>
    </row>
    <row r="97" spans="1:8" ht="14.25" hidden="1" customHeight="1">
      <c r="A97" s="56"/>
      <c r="B97" s="97"/>
      <c r="C97" s="97"/>
      <c r="D97" s="97"/>
      <c r="E97" s="97"/>
      <c r="F97" s="97"/>
      <c r="G97" s="97"/>
      <c r="H97" s="97"/>
    </row>
    <row r="98" spans="1:8" ht="14.25" hidden="1" customHeight="1">
      <c r="A98" s="56">
        <f>A52</f>
        <v>0</v>
      </c>
      <c r="B98" s="97"/>
      <c r="C98" s="97"/>
      <c r="D98" s="97"/>
      <c r="E98" s="97"/>
      <c r="F98" s="97"/>
      <c r="G98" s="97"/>
      <c r="H98" s="97"/>
    </row>
    <row r="99" spans="1:8" ht="14.25" hidden="1" customHeight="1">
      <c r="A99" s="56"/>
      <c r="B99" s="97"/>
      <c r="C99" s="97"/>
      <c r="D99" s="97"/>
      <c r="E99" s="97"/>
      <c r="F99" s="97"/>
      <c r="G99" s="97"/>
      <c r="H99" s="97"/>
    </row>
    <row r="100" spans="1:8" ht="14.25" hidden="1" customHeight="1">
      <c r="A100" s="56"/>
      <c r="B100" s="97"/>
      <c r="C100" s="97"/>
      <c r="D100" s="97"/>
      <c r="E100" s="97"/>
      <c r="F100" s="97"/>
      <c r="G100" s="97"/>
      <c r="H100" s="97"/>
    </row>
    <row r="101" spans="1:8" ht="14.25" hidden="1" customHeight="1">
      <c r="A101" s="56"/>
      <c r="B101" s="97"/>
      <c r="C101" s="97"/>
      <c r="D101" s="97"/>
      <c r="E101" s="97"/>
      <c r="F101" s="97"/>
      <c r="G101" s="97"/>
      <c r="H101" s="97"/>
    </row>
    <row r="102" spans="1:8" ht="14.25" hidden="1" customHeight="1">
      <c r="A102" s="56" t="str">
        <f>A53</f>
        <v>Onion</v>
      </c>
      <c r="B102" s="97"/>
      <c r="C102" s="97"/>
      <c r="D102" s="97"/>
      <c r="E102" s="97"/>
      <c r="F102" s="97"/>
      <c r="G102" s="97"/>
      <c r="H102" s="97"/>
    </row>
    <row r="103" spans="1:8" ht="14.25" hidden="1" customHeight="1">
      <c r="A103" s="56"/>
      <c r="B103" s="97"/>
      <c r="C103" s="97"/>
      <c r="D103" s="97"/>
      <c r="E103" s="97"/>
      <c r="F103" s="97"/>
      <c r="G103" s="97"/>
      <c r="H103" s="97"/>
    </row>
    <row r="104" spans="1:8" ht="14.25" hidden="1" customHeight="1">
      <c r="A104" s="56"/>
      <c r="B104" s="97"/>
      <c r="C104" s="97"/>
      <c r="D104" s="97"/>
      <c r="E104" s="97"/>
      <c r="F104" s="97"/>
      <c r="G104" s="97"/>
      <c r="H104" s="97"/>
    </row>
    <row r="105" spans="1:8" ht="14.25" hidden="1" customHeight="1">
      <c r="A105" s="56"/>
      <c r="B105" s="97"/>
      <c r="C105" s="97"/>
      <c r="D105" s="97"/>
      <c r="E105" s="97"/>
      <c r="F105" s="97"/>
      <c r="G105" s="97"/>
      <c r="H105" s="97"/>
    </row>
    <row r="106" spans="1:8" ht="14.25" hidden="1" customHeight="1">
      <c r="A106" s="56" t="str">
        <f>A54</f>
        <v>Tomato</v>
      </c>
      <c r="B106" s="97"/>
      <c r="C106" s="97"/>
      <c r="D106" s="97"/>
      <c r="E106" s="97"/>
      <c r="F106" s="97"/>
      <c r="G106" s="97"/>
      <c r="H106" s="97"/>
    </row>
    <row r="107" spans="1:8" ht="14.25" hidden="1" customHeight="1">
      <c r="A107" s="56"/>
      <c r="B107" s="97"/>
      <c r="C107" s="97"/>
      <c r="D107" s="97"/>
      <c r="E107" s="97"/>
      <c r="F107" s="97"/>
      <c r="G107" s="97"/>
      <c r="H107" s="97"/>
    </row>
    <row r="108" spans="1:8" ht="14.25" hidden="1" customHeight="1">
      <c r="A108" s="56"/>
      <c r="B108" s="97"/>
      <c r="C108" s="97"/>
      <c r="D108" s="97"/>
      <c r="E108" s="97"/>
      <c r="F108" s="97"/>
      <c r="G108" s="97"/>
      <c r="H108" s="97"/>
    </row>
    <row r="109" spans="1:8" ht="14.25" hidden="1" customHeight="1">
      <c r="A109" s="56"/>
      <c r="B109" s="97"/>
      <c r="C109" s="97"/>
      <c r="D109" s="97"/>
      <c r="E109" s="97"/>
      <c r="F109" s="97"/>
      <c r="G109" s="97"/>
      <c r="H109" s="97"/>
    </row>
    <row r="110" spans="1:8" ht="14.25" hidden="1" customHeight="1">
      <c r="A110" s="56" t="str">
        <f>A55</f>
        <v>Okra</v>
      </c>
      <c r="B110" s="97"/>
      <c r="C110" s="97"/>
      <c r="D110" s="97"/>
      <c r="E110" s="97"/>
      <c r="F110" s="97"/>
      <c r="G110" s="97"/>
      <c r="H110" s="97"/>
    </row>
    <row r="111" spans="1:8" ht="14.25" hidden="1" customHeight="1">
      <c r="A111" s="56"/>
      <c r="B111" s="97"/>
      <c r="C111" s="97"/>
      <c r="D111" s="97"/>
      <c r="E111" s="97"/>
      <c r="F111" s="97"/>
      <c r="G111" s="97"/>
      <c r="H111" s="97"/>
    </row>
    <row r="112" spans="1:8" ht="14.25" hidden="1" customHeight="1">
      <c r="A112" s="56"/>
      <c r="B112" s="97"/>
      <c r="C112" s="97"/>
      <c r="D112" s="97"/>
      <c r="E112" s="97"/>
      <c r="F112" s="97"/>
      <c r="G112" s="97"/>
      <c r="H112" s="97"/>
    </row>
    <row r="113" spans="1:8" ht="14.25" hidden="1" customHeight="1">
      <c r="A113" s="56"/>
      <c r="B113" s="97"/>
      <c r="C113" s="97"/>
      <c r="D113" s="97"/>
      <c r="E113" s="97"/>
      <c r="F113" s="97"/>
      <c r="G113" s="97"/>
      <c r="H113" s="97"/>
    </row>
    <row r="114" spans="1:8" ht="14.25" hidden="1" customHeight="1">
      <c r="A114" s="56" t="str">
        <f>A56</f>
        <v>Chilli</v>
      </c>
      <c r="B114" s="97"/>
      <c r="C114" s="97"/>
      <c r="D114" s="97"/>
      <c r="E114" s="97"/>
      <c r="F114" s="97"/>
      <c r="G114" s="97"/>
      <c r="H114" s="97"/>
    </row>
    <row r="115" spans="1:8" ht="14.25" hidden="1" customHeight="1">
      <c r="A115" s="56"/>
      <c r="B115" s="97"/>
      <c r="C115" s="97"/>
      <c r="D115" s="97"/>
      <c r="E115" s="97"/>
      <c r="F115" s="97"/>
      <c r="G115" s="97"/>
      <c r="H115" s="97"/>
    </row>
    <row r="116" spans="1:8" ht="14.25" hidden="1" customHeight="1">
      <c r="A116" s="56"/>
      <c r="B116" s="97"/>
      <c r="C116" s="97"/>
      <c r="D116" s="97"/>
      <c r="E116" s="97"/>
      <c r="F116" s="97"/>
      <c r="G116" s="97"/>
      <c r="H116" s="97"/>
    </row>
    <row r="117" spans="1:8" ht="14.25" hidden="1" customHeight="1">
      <c r="A117" s="56"/>
      <c r="B117" s="97"/>
      <c r="C117" s="97"/>
      <c r="D117" s="97"/>
      <c r="E117" s="97"/>
      <c r="F117" s="97"/>
      <c r="G117" s="97"/>
      <c r="H117" s="97"/>
    </row>
    <row r="118" spans="1:8" ht="14.25" hidden="1" customHeight="1">
      <c r="A118" s="98" t="str">
        <f t="shared" ref="A118:A123" si="18">A57</f>
        <v>Brinjal</v>
      </c>
      <c r="B118" s="97"/>
      <c r="C118" s="97"/>
      <c r="D118" s="97"/>
      <c r="E118" s="97"/>
      <c r="F118" s="97"/>
      <c r="G118" s="97"/>
      <c r="H118" s="97"/>
    </row>
    <row r="119" spans="1:8" ht="14.25" hidden="1" customHeight="1">
      <c r="A119" s="56">
        <f t="shared" si="18"/>
        <v>0</v>
      </c>
      <c r="B119" s="97"/>
      <c r="C119" s="97"/>
      <c r="D119" s="97"/>
      <c r="E119" s="97"/>
      <c r="F119" s="97"/>
      <c r="G119" s="97"/>
      <c r="H119" s="97"/>
    </row>
    <row r="120" spans="1:8" ht="14.25" hidden="1" customHeight="1">
      <c r="A120" s="56">
        <f t="shared" si="18"/>
        <v>0</v>
      </c>
      <c r="B120" s="97"/>
      <c r="C120" s="97"/>
      <c r="D120" s="97"/>
      <c r="E120" s="97"/>
      <c r="F120" s="97"/>
      <c r="G120" s="97"/>
      <c r="H120" s="97"/>
    </row>
    <row r="121" spans="1:8" ht="14.25" hidden="1" customHeight="1">
      <c r="A121" s="56">
        <f t="shared" si="18"/>
        <v>0</v>
      </c>
      <c r="B121" s="97"/>
      <c r="C121" s="97"/>
      <c r="D121" s="97"/>
      <c r="E121" s="97"/>
      <c r="F121" s="97"/>
      <c r="G121" s="97"/>
      <c r="H121" s="97"/>
    </row>
    <row r="122" spans="1:8" ht="14.25" hidden="1" customHeight="1">
      <c r="A122" s="56">
        <f t="shared" si="18"/>
        <v>0</v>
      </c>
      <c r="B122" s="97"/>
      <c r="C122" s="97"/>
      <c r="D122" s="97"/>
      <c r="E122" s="97"/>
      <c r="F122" s="97"/>
      <c r="G122" s="97"/>
      <c r="H122" s="97"/>
    </row>
    <row r="123" spans="1:8" ht="14.25" hidden="1" customHeight="1">
      <c r="A123" s="98" t="str">
        <f t="shared" si="18"/>
        <v>Pomegranate</v>
      </c>
      <c r="B123" s="97"/>
      <c r="C123" s="97"/>
      <c r="D123" s="97"/>
      <c r="E123" s="97"/>
      <c r="F123" s="97"/>
      <c r="G123" s="97"/>
      <c r="H123" s="97"/>
    </row>
    <row r="124" spans="1:8" ht="14.25" hidden="1" customHeight="1">
      <c r="A124" s="56" t="s">
        <v>752</v>
      </c>
      <c r="B124" s="97">
        <f t="shared" ref="B124:H124" si="19">(B$62*50%)*0.7</f>
        <v>0</v>
      </c>
      <c r="C124" s="97">
        <f t="shared" si="19"/>
        <v>0</v>
      </c>
      <c r="D124" s="97">
        <f t="shared" si="19"/>
        <v>0</v>
      </c>
      <c r="E124" s="97">
        <f t="shared" si="19"/>
        <v>0</v>
      </c>
      <c r="F124" s="97">
        <f t="shared" si="19"/>
        <v>0</v>
      </c>
      <c r="G124" s="97">
        <f t="shared" si="19"/>
        <v>0</v>
      </c>
      <c r="H124" s="97">
        <f t="shared" si="19"/>
        <v>0</v>
      </c>
    </row>
    <row r="125" spans="1:8" ht="14.25" hidden="1" customHeight="1">
      <c r="A125" s="56" t="s">
        <v>753</v>
      </c>
      <c r="B125" s="97">
        <f>(B$62*50%)*0.7*2</f>
        <v>0</v>
      </c>
      <c r="C125" s="97">
        <f t="shared" ref="C125:H125" si="20">(C$62*50%)*0.7</f>
        <v>0</v>
      </c>
      <c r="D125" s="97">
        <f t="shared" si="20"/>
        <v>0</v>
      </c>
      <c r="E125" s="97">
        <f t="shared" si="20"/>
        <v>0</v>
      </c>
      <c r="F125" s="97">
        <f t="shared" si="20"/>
        <v>0</v>
      </c>
      <c r="G125" s="97">
        <f t="shared" si="20"/>
        <v>0</v>
      </c>
      <c r="H125" s="97">
        <f t="shared" si="20"/>
        <v>0</v>
      </c>
    </row>
    <row r="126" spans="1:8" ht="14.25" hidden="1" customHeight="1">
      <c r="A126" s="56" t="s">
        <v>754</v>
      </c>
      <c r="B126" s="97">
        <f>(B$62*0.3)*0.2</f>
        <v>0</v>
      </c>
      <c r="C126" s="97">
        <f t="shared" ref="C126:H126" si="21">(C$62*50%)*0.7</f>
        <v>0</v>
      </c>
      <c r="D126" s="97">
        <f t="shared" si="21"/>
        <v>0</v>
      </c>
      <c r="E126" s="97">
        <f t="shared" si="21"/>
        <v>0</v>
      </c>
      <c r="F126" s="97">
        <f t="shared" si="21"/>
        <v>0</v>
      </c>
      <c r="G126" s="97">
        <f t="shared" si="21"/>
        <v>0</v>
      </c>
      <c r="H126" s="97">
        <f t="shared" si="21"/>
        <v>0</v>
      </c>
    </row>
    <row r="127" spans="1:8" ht="14.25" hidden="1" customHeight="1">
      <c r="A127" s="56" t="str">
        <f>A63</f>
        <v>Custard Apple</v>
      </c>
      <c r="B127" s="97"/>
      <c r="C127" s="97"/>
      <c r="D127" s="97"/>
      <c r="E127" s="97"/>
      <c r="F127" s="97"/>
      <c r="G127" s="97"/>
      <c r="H127" s="97"/>
    </row>
    <row r="128" spans="1:8" ht="14.25" hidden="1" customHeight="1">
      <c r="A128" s="56"/>
      <c r="B128" s="97"/>
      <c r="C128" s="97"/>
      <c r="D128" s="97"/>
      <c r="E128" s="97"/>
      <c r="F128" s="97"/>
      <c r="G128" s="97"/>
      <c r="H128" s="97"/>
    </row>
    <row r="129" spans="1:8" ht="14.25" hidden="1" customHeight="1">
      <c r="A129" s="56"/>
      <c r="B129" s="97"/>
      <c r="C129" s="97"/>
      <c r="D129" s="97"/>
      <c r="E129" s="97"/>
      <c r="F129" s="97"/>
      <c r="G129" s="97"/>
      <c r="H129" s="97"/>
    </row>
    <row r="130" spans="1:8" ht="14.25" hidden="1" customHeight="1">
      <c r="A130" s="56"/>
      <c r="B130" s="97"/>
      <c r="C130" s="97"/>
      <c r="D130" s="97"/>
      <c r="E130" s="97"/>
      <c r="F130" s="97"/>
      <c r="G130" s="97"/>
      <c r="H130" s="97"/>
    </row>
    <row r="131" spans="1:8" ht="14.25" hidden="1" customHeight="1">
      <c r="A131" s="56" t="str">
        <f>A64</f>
        <v>Guava</v>
      </c>
      <c r="B131" s="97"/>
      <c r="C131" s="97"/>
      <c r="D131" s="97"/>
      <c r="E131" s="97"/>
      <c r="F131" s="97"/>
      <c r="G131" s="97"/>
      <c r="H131" s="97"/>
    </row>
    <row r="132" spans="1:8" ht="14.25" hidden="1" customHeight="1">
      <c r="A132" s="56"/>
      <c r="B132" s="97"/>
      <c r="C132" s="97"/>
      <c r="D132" s="97"/>
      <c r="E132" s="97"/>
      <c r="F132" s="97"/>
      <c r="G132" s="97"/>
      <c r="H132" s="97"/>
    </row>
    <row r="133" spans="1:8" ht="14.25" hidden="1" customHeight="1">
      <c r="A133" s="56"/>
      <c r="B133" s="97"/>
      <c r="C133" s="97"/>
      <c r="D133" s="97"/>
      <c r="E133" s="97"/>
      <c r="F133" s="97"/>
      <c r="G133" s="97"/>
      <c r="H133" s="97"/>
    </row>
    <row r="134" spans="1:8" ht="14.25" hidden="1" customHeight="1">
      <c r="A134" s="56"/>
      <c r="B134" s="97"/>
      <c r="C134" s="97"/>
      <c r="D134" s="97"/>
      <c r="E134" s="97"/>
      <c r="F134" s="97"/>
      <c r="G134" s="97"/>
      <c r="H134" s="97"/>
    </row>
    <row r="135" spans="1:8" ht="14.25" hidden="1" customHeight="1">
      <c r="A135" s="56" t="str">
        <f>A65</f>
        <v>Citrus</v>
      </c>
      <c r="B135" s="97"/>
      <c r="C135" s="97"/>
      <c r="D135" s="97"/>
      <c r="E135" s="97"/>
      <c r="F135" s="97"/>
      <c r="G135" s="97"/>
      <c r="H135" s="97"/>
    </row>
    <row r="136" spans="1:8" ht="14.25" hidden="1" customHeight="1">
      <c r="A136" s="56"/>
      <c r="B136" s="97"/>
      <c r="C136" s="97"/>
      <c r="D136" s="97"/>
      <c r="E136" s="97"/>
      <c r="F136" s="97"/>
      <c r="G136" s="97"/>
      <c r="H136" s="97"/>
    </row>
    <row r="137" spans="1:8" ht="14.25" hidden="1" customHeight="1">
      <c r="A137" s="56"/>
      <c r="B137" s="97"/>
      <c r="C137" s="97"/>
      <c r="D137" s="97"/>
      <c r="E137" s="97"/>
      <c r="F137" s="97"/>
      <c r="G137" s="97"/>
      <c r="H137" s="97"/>
    </row>
    <row r="138" spans="1:8" ht="14.25" hidden="1" customHeight="1">
      <c r="A138" s="56"/>
      <c r="B138" s="97"/>
      <c r="C138" s="97"/>
      <c r="D138" s="97"/>
      <c r="E138" s="97"/>
      <c r="F138" s="97"/>
      <c r="G138" s="97"/>
      <c r="H138" s="97"/>
    </row>
    <row r="139" spans="1:8" ht="14.25" hidden="1" customHeight="1">
      <c r="A139" s="92"/>
      <c r="B139" s="158"/>
      <c r="C139" s="158"/>
      <c r="D139" s="158"/>
      <c r="E139" s="158"/>
      <c r="F139" s="158"/>
      <c r="G139" s="158"/>
      <c r="H139" s="158"/>
    </row>
    <row r="140" spans="1:8" ht="14.25" hidden="1" customHeight="1">
      <c r="A140" s="92" t="s">
        <v>665</v>
      </c>
    </row>
    <row r="141" spans="1:8" ht="14.25" hidden="1" customHeight="1">
      <c r="A141" t="s">
        <v>755</v>
      </c>
      <c r="B141" s="20">
        <f t="shared" ref="B141:H141" si="22">(B124*100)</f>
        <v>0</v>
      </c>
      <c r="C141" s="20">
        <f t="shared" si="22"/>
        <v>0</v>
      </c>
      <c r="D141" s="20">
        <f t="shared" si="22"/>
        <v>0</v>
      </c>
      <c r="E141" s="20">
        <f t="shared" si="22"/>
        <v>0</v>
      </c>
      <c r="F141" s="20">
        <f t="shared" si="22"/>
        <v>0</v>
      </c>
      <c r="G141" s="20">
        <f t="shared" si="22"/>
        <v>0</v>
      </c>
      <c r="H141" s="20">
        <f t="shared" si="22"/>
        <v>0</v>
      </c>
    </row>
    <row r="142" spans="1:8" ht="14.25" hidden="1" customHeight="1">
      <c r="A142" t="s">
        <v>756</v>
      </c>
      <c r="B142" s="20">
        <f t="shared" ref="B142:H142" si="23">(B125*100)</f>
        <v>0</v>
      </c>
      <c r="C142" s="20">
        <f t="shared" si="23"/>
        <v>0</v>
      </c>
      <c r="D142" s="20">
        <f t="shared" si="23"/>
        <v>0</v>
      </c>
      <c r="E142" s="20">
        <f t="shared" si="23"/>
        <v>0</v>
      </c>
      <c r="F142" s="20">
        <f t="shared" si="23"/>
        <v>0</v>
      </c>
      <c r="G142" s="20">
        <f t="shared" si="23"/>
        <v>0</v>
      </c>
      <c r="H142" s="20">
        <f t="shared" si="23"/>
        <v>0</v>
      </c>
    </row>
    <row r="143" spans="1:8" ht="14.25" hidden="1" customHeight="1">
      <c r="A143" t="s">
        <v>757</v>
      </c>
      <c r="B143" s="20">
        <f t="shared" ref="B143:H143" si="24">(B126*100)</f>
        <v>0</v>
      </c>
      <c r="C143" s="20">
        <f t="shared" si="24"/>
        <v>0</v>
      </c>
      <c r="D143" s="20">
        <f t="shared" si="24"/>
        <v>0</v>
      </c>
      <c r="E143" s="20">
        <f t="shared" si="24"/>
        <v>0</v>
      </c>
      <c r="F143" s="20">
        <f t="shared" si="24"/>
        <v>0</v>
      </c>
      <c r="G143" s="20">
        <f t="shared" si="24"/>
        <v>0</v>
      </c>
      <c r="H143" s="20">
        <f t="shared" si="24"/>
        <v>0</v>
      </c>
    </row>
    <row r="144" spans="1:8" ht="14.25" customHeight="1"/>
    <row r="145" spans="1:10" ht="14.25" customHeight="1">
      <c r="B145" s="20"/>
      <c r="C145" s="20"/>
    </row>
    <row r="146" spans="1:10" ht="14.25" customHeight="1">
      <c r="B146" s="20"/>
      <c r="C146" s="20"/>
      <c r="D146" s="20"/>
    </row>
    <row r="147" spans="1:10" ht="14.25" customHeight="1">
      <c r="A147" s="359" t="s">
        <v>758</v>
      </c>
      <c r="B147" s="360"/>
      <c r="C147" s="360"/>
      <c r="D147" s="360"/>
      <c r="E147" s="360"/>
      <c r="F147" s="360"/>
      <c r="G147" s="360"/>
      <c r="H147" s="360"/>
      <c r="I147" s="360"/>
      <c r="J147" s="360"/>
    </row>
    <row r="148" spans="1:10" ht="14.25" customHeight="1">
      <c r="A148" s="30"/>
      <c r="B148" s="30"/>
      <c r="C148" s="30"/>
      <c r="D148" s="30"/>
      <c r="E148" s="30"/>
      <c r="F148" s="30"/>
      <c r="G148" s="30"/>
      <c r="H148" s="30"/>
    </row>
    <row r="149" spans="1:10" ht="14.25" customHeight="1">
      <c r="A149" s="303"/>
      <c r="B149" s="303"/>
      <c r="C149" s="303"/>
      <c r="D149" s="304">
        <v>1</v>
      </c>
      <c r="E149" s="305">
        <f t="shared" ref="E149:J149" si="25">(D149*5%)+D149</f>
        <v>1.05</v>
      </c>
      <c r="F149" s="305">
        <f t="shared" si="25"/>
        <v>1.1025</v>
      </c>
      <c r="G149" s="305">
        <f t="shared" si="25"/>
        <v>1.1576250000000001</v>
      </c>
      <c r="H149" s="305">
        <f t="shared" si="25"/>
        <v>1.2155062500000002</v>
      </c>
      <c r="I149" s="305">
        <f t="shared" si="25"/>
        <v>1.2762815625000004</v>
      </c>
      <c r="J149" s="305">
        <f t="shared" si="25"/>
        <v>1.3400956406250004</v>
      </c>
    </row>
    <row r="150" spans="1:10" ht="14.25" customHeight="1">
      <c r="A150" s="92"/>
      <c r="B150" s="92"/>
      <c r="C150" s="92"/>
      <c r="D150" s="92"/>
      <c r="E150" s="92"/>
      <c r="F150" s="92"/>
      <c r="G150" s="92"/>
      <c r="H150" s="92"/>
      <c r="I150" s="92"/>
      <c r="J150" s="92"/>
    </row>
    <row r="151" spans="1:10" ht="14.25" customHeight="1">
      <c r="A151" s="95" t="s">
        <v>201</v>
      </c>
      <c r="B151" s="95" t="s">
        <v>115</v>
      </c>
      <c r="C151" s="95" t="s">
        <v>129</v>
      </c>
      <c r="D151" s="96" t="s">
        <v>204</v>
      </c>
      <c r="E151" s="96" t="s">
        <v>205</v>
      </c>
      <c r="F151" s="96" t="s">
        <v>206</v>
      </c>
      <c r="G151" s="96" t="s">
        <v>207</v>
      </c>
      <c r="H151" s="96" t="s">
        <v>208</v>
      </c>
      <c r="I151" s="96" t="s">
        <v>209</v>
      </c>
      <c r="J151" s="96" t="s">
        <v>210</v>
      </c>
    </row>
    <row r="152" spans="1:10" ht="14.25" customHeight="1">
      <c r="A152" s="56"/>
      <c r="B152" s="56"/>
      <c r="C152" s="56"/>
      <c r="D152" s="56"/>
      <c r="E152" s="56"/>
      <c r="F152" s="56"/>
      <c r="G152" s="56"/>
      <c r="H152" s="56"/>
      <c r="I152" s="56"/>
      <c r="J152" s="56"/>
    </row>
    <row r="153" spans="1:10" ht="14.25" customHeight="1">
      <c r="A153" s="98" t="s">
        <v>396</v>
      </c>
      <c r="B153" s="98"/>
      <c r="C153" s="98"/>
      <c r="D153" s="171"/>
      <c r="E153" s="171"/>
      <c r="F153" s="171"/>
      <c r="G153" s="171"/>
      <c r="H153" s="171"/>
      <c r="I153" s="56"/>
      <c r="J153" s="56"/>
    </row>
    <row r="154" spans="1:10" ht="14.25" customHeight="1">
      <c r="A154" s="56" t="s">
        <v>380</v>
      </c>
      <c r="B154" s="58" t="s">
        <v>759</v>
      </c>
      <c r="C154" s="58">
        <f>60*50</f>
        <v>3000</v>
      </c>
      <c r="D154" s="97">
        <f>(((B67*100)/50)*(1-'5.Closing Stock &amp; W Capital'!$D$18)*$C154*D$149)</f>
        <v>0</v>
      </c>
      <c r="E154" s="97">
        <f>(((((C67*(1-'5.Closing Stock &amp; W Capital'!$D$18))+(B67*'5.Closing Stock &amp; W Capital'!$D$18))*100)/50)*$C154*E$149)</f>
        <v>0</v>
      </c>
      <c r="F154" s="97">
        <f>(((((D67*(1-'5.Closing Stock &amp; W Capital'!$D$18))+(C67*'5.Closing Stock &amp; W Capital'!$D$18))*100)/50)*$C154*F$149)</f>
        <v>0</v>
      </c>
      <c r="G154" s="97">
        <f>(((((E67*(1-'5.Closing Stock &amp; W Capital'!$D$18))+(D67*'5.Closing Stock &amp; W Capital'!$D$18))*100)/50)*$C154*G$149)</f>
        <v>0</v>
      </c>
      <c r="H154" s="97">
        <f>(((((F67*(1-'5.Closing Stock &amp; W Capital'!$D$18))+(E67*'5.Closing Stock &amp; W Capital'!$D$18))*100)/50)*$C154*H$149)</f>
        <v>0</v>
      </c>
      <c r="I154" s="97">
        <f>(((((G67*(1-'5.Closing Stock &amp; W Capital'!$D$18))+(F67*'5.Closing Stock &amp; W Capital'!$D$18))*100)/50)*$C154*I$149)</f>
        <v>0</v>
      </c>
      <c r="J154" s="97">
        <f>(((((H67*(1-'5.Closing Stock &amp; W Capital'!$D$18))+(G67*'5.Closing Stock &amp; W Capital'!$D$18))*100)/50)*$C154*J$149)</f>
        <v>0</v>
      </c>
    </row>
    <row r="155" spans="1:10" ht="14.25" customHeight="1">
      <c r="A155" s="56" t="s">
        <v>667</v>
      </c>
      <c r="B155" s="58" t="s">
        <v>760</v>
      </c>
      <c r="C155" s="58">
        <v>200</v>
      </c>
      <c r="D155" s="97">
        <f t="shared" ref="D155:J155" si="26">B42*$C$155*D149</f>
        <v>0</v>
      </c>
      <c r="E155" s="97">
        <f t="shared" si="26"/>
        <v>0</v>
      </c>
      <c r="F155" s="97">
        <f t="shared" si="26"/>
        <v>0</v>
      </c>
      <c r="G155" s="97">
        <f t="shared" si="26"/>
        <v>0</v>
      </c>
      <c r="H155" s="97">
        <f t="shared" si="26"/>
        <v>0</v>
      </c>
      <c r="I155" s="97">
        <f t="shared" si="26"/>
        <v>0</v>
      </c>
      <c r="J155" s="97">
        <f t="shared" si="26"/>
        <v>0</v>
      </c>
    </row>
    <row r="156" spans="1:10" ht="14.25" customHeight="1">
      <c r="A156" s="56" t="str">
        <f>A126</f>
        <v>Pomegranate Powder</v>
      </c>
      <c r="B156" s="58" t="s">
        <v>761</v>
      </c>
      <c r="C156" s="58">
        <v>50</v>
      </c>
      <c r="D156" s="97">
        <f>(B143*(1-'5.Closing Stock &amp; W Capital'!$D$18)*$C156*D$149)</f>
        <v>0</v>
      </c>
      <c r="E156" s="97">
        <f>(((C143*(1-'5.Closing Stock &amp; W Capital'!$D$18))+(B143*'5.Closing Stock &amp; W Capital'!$D$18))*$C156*E$149)</f>
        <v>0</v>
      </c>
      <c r="F156" s="97">
        <f>(((D143*(1-'5.Closing Stock &amp; W Capital'!$D$18))+(C143*'5.Closing Stock &amp; W Capital'!$D$18))*$C156*F$149)</f>
        <v>0</v>
      </c>
      <c r="G156" s="97">
        <f>(((E143*(1-'5.Closing Stock &amp; W Capital'!$D$18))+(D143*'5.Closing Stock &amp; W Capital'!$D$18))*$C156*G$149)</f>
        <v>0</v>
      </c>
      <c r="H156" s="97">
        <f>(((F143*(1-'5.Closing Stock &amp; W Capital'!$D$18))+(E143*'5.Closing Stock &amp; W Capital'!$D$18))*$C156*H$149)</f>
        <v>0</v>
      </c>
      <c r="I156" s="97">
        <f>(((G143*(1-'5.Closing Stock &amp; W Capital'!$D$18))+(F143*'5.Closing Stock &amp; W Capital'!$D$18))*$C156*I$149)</f>
        <v>0</v>
      </c>
      <c r="J156" s="97">
        <f>(((H143*(1-'5.Closing Stock &amp; W Capital'!$D$18))+(G143*'5.Closing Stock &amp; W Capital'!$D$18))*$C156*J$149)</f>
        <v>0</v>
      </c>
    </row>
    <row r="157" spans="1:10" ht="14.25" customHeight="1">
      <c r="A157" s="56"/>
      <c r="B157" s="58"/>
      <c r="C157" s="58"/>
      <c r="D157" s="97"/>
      <c r="E157" s="97"/>
      <c r="F157" s="97"/>
      <c r="G157" s="97"/>
      <c r="H157" s="97"/>
      <c r="I157" s="97"/>
      <c r="J157" s="97"/>
    </row>
    <row r="158" spans="1:10" ht="14.25" customHeight="1">
      <c r="A158" s="56"/>
      <c r="B158" s="56"/>
      <c r="C158" s="56"/>
      <c r="D158" s="97"/>
      <c r="E158" s="97"/>
      <c r="F158" s="97"/>
      <c r="G158" s="97"/>
      <c r="H158" s="97"/>
      <c r="I158" s="97"/>
      <c r="J158" s="97"/>
    </row>
    <row r="159" spans="1:10" ht="14.25" customHeight="1">
      <c r="A159" s="98" t="s">
        <v>396</v>
      </c>
      <c r="B159" s="98"/>
      <c r="C159" s="98"/>
      <c r="D159" s="99">
        <f t="shared" ref="D159:J159" si="27">SUM(D154:D158)</f>
        <v>0</v>
      </c>
      <c r="E159" s="99">
        <f t="shared" si="27"/>
        <v>0</v>
      </c>
      <c r="F159" s="99">
        <f t="shared" si="27"/>
        <v>0</v>
      </c>
      <c r="G159" s="99">
        <f t="shared" si="27"/>
        <v>0</v>
      </c>
      <c r="H159" s="99">
        <f t="shared" si="27"/>
        <v>0</v>
      </c>
      <c r="I159" s="99">
        <f t="shared" si="27"/>
        <v>0</v>
      </c>
      <c r="J159" s="99">
        <f t="shared" si="27"/>
        <v>0</v>
      </c>
    </row>
    <row r="160" spans="1:10" ht="14.25" customHeight="1">
      <c r="A160" s="56"/>
      <c r="B160" s="56"/>
      <c r="C160" s="56"/>
      <c r="D160" s="97"/>
      <c r="E160" s="97"/>
      <c r="F160" s="97"/>
      <c r="G160" s="97"/>
      <c r="H160" s="97"/>
      <c r="I160" s="97"/>
      <c r="J160" s="97"/>
    </row>
    <row r="161" spans="1:10" ht="14.25" customHeight="1">
      <c r="A161" s="98" t="s">
        <v>636</v>
      </c>
      <c r="B161" s="98"/>
      <c r="C161" s="98"/>
      <c r="D161" s="97"/>
      <c r="E161" s="97"/>
      <c r="F161" s="97"/>
      <c r="G161" s="97"/>
      <c r="H161" s="97"/>
      <c r="I161" s="97"/>
      <c r="J161" s="97"/>
    </row>
    <row r="162" spans="1:10" ht="14.25" customHeight="1">
      <c r="A162" s="98" t="s">
        <v>404</v>
      </c>
      <c r="B162" s="98"/>
      <c r="C162" s="56"/>
      <c r="D162" s="97"/>
      <c r="E162" s="97"/>
      <c r="F162" s="97"/>
      <c r="G162" s="97"/>
      <c r="H162" s="97"/>
      <c r="I162" s="97"/>
      <c r="J162" s="97"/>
    </row>
    <row r="163" spans="1:10" ht="14.25" customHeight="1">
      <c r="A163" s="56" t="s">
        <v>370</v>
      </c>
      <c r="B163" s="58" t="s">
        <v>637</v>
      </c>
      <c r="C163" s="316">
        <v>5000</v>
      </c>
      <c r="D163" s="97">
        <f t="shared" ref="D163:J163" si="28">B44*$C$163*D149</f>
        <v>0</v>
      </c>
      <c r="E163" s="97">
        <f t="shared" si="28"/>
        <v>0</v>
      </c>
      <c r="F163" s="97">
        <f t="shared" si="28"/>
        <v>0</v>
      </c>
      <c r="G163" s="97">
        <f t="shared" si="28"/>
        <v>0</v>
      </c>
      <c r="H163" s="97">
        <f t="shared" si="28"/>
        <v>0</v>
      </c>
      <c r="I163" s="97">
        <f t="shared" si="28"/>
        <v>0</v>
      </c>
      <c r="J163" s="97">
        <f t="shared" si="28"/>
        <v>0</v>
      </c>
    </row>
    <row r="164" spans="1:10" ht="14.25" customHeight="1">
      <c r="A164" s="56" t="s">
        <v>762</v>
      </c>
      <c r="B164" s="58" t="s">
        <v>637</v>
      </c>
      <c r="C164" s="58">
        <v>2000</v>
      </c>
      <c r="D164" s="97">
        <f t="shared" ref="D164:J164" si="29">(B62*10%)*$C164*D$149</f>
        <v>0</v>
      </c>
      <c r="E164" s="97">
        <f t="shared" si="29"/>
        <v>0</v>
      </c>
      <c r="F164" s="97">
        <f t="shared" si="29"/>
        <v>0</v>
      </c>
      <c r="G164" s="97">
        <f t="shared" si="29"/>
        <v>0</v>
      </c>
      <c r="H164" s="97">
        <f t="shared" si="29"/>
        <v>0</v>
      </c>
      <c r="I164" s="97">
        <f t="shared" si="29"/>
        <v>0</v>
      </c>
      <c r="J164" s="97">
        <f t="shared" si="29"/>
        <v>0</v>
      </c>
    </row>
    <row r="165" spans="1:10" ht="14.25" customHeight="1">
      <c r="A165" s="56" t="s">
        <v>668</v>
      </c>
      <c r="B165" s="58"/>
      <c r="C165" s="58"/>
      <c r="D165" s="97">
        <f t="shared" ref="D165:J165" si="30">B12*$B$165*$C$165*D149</f>
        <v>0</v>
      </c>
      <c r="E165" s="97">
        <f t="shared" si="30"/>
        <v>0</v>
      </c>
      <c r="F165" s="97">
        <f t="shared" si="30"/>
        <v>0</v>
      </c>
      <c r="G165" s="97">
        <f t="shared" si="30"/>
        <v>0</v>
      </c>
      <c r="H165" s="97">
        <f t="shared" si="30"/>
        <v>0</v>
      </c>
      <c r="I165" s="97">
        <f t="shared" si="30"/>
        <v>0</v>
      </c>
      <c r="J165" s="97">
        <f t="shared" si="30"/>
        <v>0</v>
      </c>
    </row>
    <row r="166" spans="1:10" ht="14.25" customHeight="1">
      <c r="A166" s="56" t="s">
        <v>639</v>
      </c>
      <c r="B166" s="56"/>
      <c r="C166" s="58"/>
      <c r="D166" s="97">
        <f t="shared" ref="D166:J166" si="31">$B$166*$C$166*B12*D149</f>
        <v>0</v>
      </c>
      <c r="E166" s="97">
        <f t="shared" si="31"/>
        <v>0</v>
      </c>
      <c r="F166" s="97">
        <f t="shared" si="31"/>
        <v>0</v>
      </c>
      <c r="G166" s="97">
        <f t="shared" si="31"/>
        <v>0</v>
      </c>
      <c r="H166" s="97">
        <f t="shared" si="31"/>
        <v>0</v>
      </c>
      <c r="I166" s="97">
        <f t="shared" si="31"/>
        <v>0</v>
      </c>
      <c r="J166" s="97">
        <f t="shared" si="31"/>
        <v>0</v>
      </c>
    </row>
    <row r="167" spans="1:10" ht="14.25" customHeight="1">
      <c r="A167" s="56" t="s">
        <v>763</v>
      </c>
      <c r="B167" s="56" t="s">
        <v>637</v>
      </c>
      <c r="C167" s="58">
        <v>10</v>
      </c>
      <c r="D167" s="97">
        <f t="shared" ref="D167:J167" si="32">B62*$C167*D$149</f>
        <v>0</v>
      </c>
      <c r="E167" s="97">
        <f t="shared" si="32"/>
        <v>0</v>
      </c>
      <c r="F167" s="97">
        <f t="shared" si="32"/>
        <v>0</v>
      </c>
      <c r="G167" s="97">
        <f t="shared" si="32"/>
        <v>0</v>
      </c>
      <c r="H167" s="97">
        <f t="shared" si="32"/>
        <v>0</v>
      </c>
      <c r="I167" s="97">
        <f t="shared" si="32"/>
        <v>0</v>
      </c>
      <c r="J167" s="97">
        <f t="shared" si="32"/>
        <v>0</v>
      </c>
    </row>
    <row r="168" spans="1:10" ht="14.25" customHeight="1">
      <c r="A168" s="249" t="s">
        <v>764</v>
      </c>
      <c r="B168" s="249"/>
      <c r="C168" s="320">
        <v>30</v>
      </c>
      <c r="D168" s="97">
        <f t="shared" ref="D168:J168" si="33">((B67*100)/50)*$C$168*D149</f>
        <v>0</v>
      </c>
      <c r="E168" s="97">
        <f t="shared" si="33"/>
        <v>0</v>
      </c>
      <c r="F168" s="97">
        <f t="shared" si="33"/>
        <v>0</v>
      </c>
      <c r="G168" s="97">
        <f t="shared" si="33"/>
        <v>0</v>
      </c>
      <c r="H168" s="97">
        <f t="shared" si="33"/>
        <v>0</v>
      </c>
      <c r="I168" s="97">
        <f t="shared" si="33"/>
        <v>0</v>
      </c>
      <c r="J168" s="97">
        <f t="shared" si="33"/>
        <v>0</v>
      </c>
    </row>
    <row r="169" spans="1:10" ht="14.25" customHeight="1">
      <c r="A169" s="56" t="s">
        <v>670</v>
      </c>
      <c r="B169" s="56"/>
      <c r="C169" s="58">
        <v>50</v>
      </c>
      <c r="D169" s="97">
        <f t="shared" ref="D169:J169" si="34">B67*$C$169*D149</f>
        <v>0</v>
      </c>
      <c r="E169" s="97">
        <f t="shared" si="34"/>
        <v>0</v>
      </c>
      <c r="F169" s="97">
        <f t="shared" si="34"/>
        <v>0</v>
      </c>
      <c r="G169" s="97">
        <f t="shared" si="34"/>
        <v>0</v>
      </c>
      <c r="H169" s="97">
        <f t="shared" si="34"/>
        <v>0</v>
      </c>
      <c r="I169" s="97">
        <f t="shared" si="34"/>
        <v>0</v>
      </c>
      <c r="J169" s="97">
        <f t="shared" si="34"/>
        <v>0</v>
      </c>
    </row>
    <row r="170" spans="1:10" ht="14.25" customHeight="1">
      <c r="A170" s="64"/>
      <c r="B170" s="64"/>
      <c r="C170" s="64"/>
      <c r="D170" s="64"/>
      <c r="E170" s="64"/>
      <c r="F170" s="64"/>
      <c r="G170" s="64"/>
      <c r="H170" s="64"/>
      <c r="I170" s="64"/>
      <c r="J170" s="64"/>
    </row>
    <row r="171" spans="1:10" ht="14.25" customHeight="1">
      <c r="A171" s="64"/>
      <c r="B171" s="64"/>
      <c r="C171" s="64"/>
      <c r="D171" s="64"/>
      <c r="E171" s="64"/>
      <c r="F171" s="64"/>
      <c r="G171" s="64"/>
      <c r="H171" s="64"/>
      <c r="I171" s="64"/>
      <c r="J171" s="64"/>
    </row>
    <row r="172" spans="1:10" ht="14.25" customHeight="1">
      <c r="A172" s="64"/>
      <c r="B172" s="64"/>
      <c r="C172" s="64"/>
      <c r="D172" s="64"/>
      <c r="E172" s="64"/>
      <c r="F172" s="64"/>
      <c r="G172" s="64"/>
      <c r="H172" s="64"/>
      <c r="I172" s="64"/>
      <c r="J172" s="64"/>
    </row>
    <row r="173" spans="1:10" ht="14.25" customHeight="1">
      <c r="A173" s="64"/>
      <c r="B173" s="64"/>
      <c r="C173" s="64"/>
      <c r="D173" s="64"/>
      <c r="E173" s="64"/>
      <c r="F173" s="64"/>
      <c r="G173" s="64"/>
      <c r="H173" s="64"/>
      <c r="I173" s="64"/>
      <c r="J173" s="64"/>
    </row>
    <row r="174" spans="1:10" ht="14.25" customHeight="1">
      <c r="A174" s="97" t="s">
        <v>644</v>
      </c>
      <c r="B174" s="97"/>
      <c r="C174" s="97"/>
      <c r="D174" s="97"/>
      <c r="E174" s="97">
        <f>'5.Closing Stock &amp; W Capital'!F9</f>
        <v>0</v>
      </c>
      <c r="F174" s="97">
        <f>'5.Closing Stock &amp; W Capital'!G9</f>
        <v>0</v>
      </c>
      <c r="G174" s="97">
        <f>'5.Closing Stock &amp; W Capital'!H9</f>
        <v>0</v>
      </c>
      <c r="H174" s="97">
        <f>'5.Closing Stock &amp; W Capital'!I9</f>
        <v>0</v>
      </c>
      <c r="I174" s="97">
        <f>'5.Closing Stock &amp; W Capital'!J9</f>
        <v>0</v>
      </c>
      <c r="J174" s="97">
        <f>'5.Closing Stock &amp; W Capital'!K9</f>
        <v>0</v>
      </c>
    </row>
    <row r="175" spans="1:10" ht="14.25" customHeight="1">
      <c r="A175" s="97" t="s">
        <v>645</v>
      </c>
      <c r="B175" s="97"/>
      <c r="C175" s="97"/>
      <c r="D175" s="97">
        <f>'5.Closing Stock &amp; W Capital'!E18</f>
        <v>0</v>
      </c>
      <c r="E175" s="97">
        <f>'5.Closing Stock &amp; W Capital'!F18</f>
        <v>0</v>
      </c>
      <c r="F175" s="97">
        <f>'5.Closing Stock &amp; W Capital'!G18</f>
        <v>0</v>
      </c>
      <c r="G175" s="97">
        <f>'5.Closing Stock &amp; W Capital'!H18</f>
        <v>0</v>
      </c>
      <c r="H175" s="97">
        <f>'5.Closing Stock &amp; W Capital'!I18</f>
        <v>0</v>
      </c>
      <c r="I175" s="97">
        <f>'5.Closing Stock &amp; W Capital'!J18</f>
        <v>0</v>
      </c>
      <c r="J175" s="97">
        <f>'5.Closing Stock &amp; W Capital'!K18</f>
        <v>0</v>
      </c>
    </row>
    <row r="176" spans="1:10" ht="14.25" customHeight="1">
      <c r="A176" s="97"/>
      <c r="B176" s="97"/>
      <c r="C176" s="97"/>
      <c r="D176" s="97"/>
      <c r="E176" s="97"/>
      <c r="F176" s="97"/>
      <c r="G176" s="97"/>
      <c r="H176" s="97"/>
      <c r="I176" s="97"/>
      <c r="J176" s="97"/>
    </row>
    <row r="177" spans="1:10" ht="14.25" customHeight="1">
      <c r="A177" s="99" t="s">
        <v>405</v>
      </c>
      <c r="B177" s="97"/>
      <c r="C177" s="97"/>
      <c r="D177" s="99">
        <f t="shared" ref="D177:J177" si="35">SUM(D163:D174)-D175</f>
        <v>0</v>
      </c>
      <c r="E177" s="99">
        <f t="shared" si="35"/>
        <v>0</v>
      </c>
      <c r="F177" s="99">
        <f t="shared" si="35"/>
        <v>0</v>
      </c>
      <c r="G177" s="99">
        <f t="shared" si="35"/>
        <v>0</v>
      </c>
      <c r="H177" s="99">
        <f t="shared" si="35"/>
        <v>0</v>
      </c>
      <c r="I177" s="99">
        <f t="shared" si="35"/>
        <v>0</v>
      </c>
      <c r="J177" s="99">
        <f t="shared" si="35"/>
        <v>0</v>
      </c>
    </row>
    <row r="178" spans="1:10" ht="14.25" customHeight="1">
      <c r="A178" s="92"/>
      <c r="B178" s="92"/>
      <c r="C178" s="92"/>
      <c r="D178" s="92"/>
      <c r="E178" s="92"/>
      <c r="F178" s="92"/>
      <c r="G178" s="92"/>
      <c r="H178" s="92"/>
      <c r="I178" s="92"/>
      <c r="J178" s="92"/>
    </row>
    <row r="179" spans="1:10" ht="14.25" customHeight="1">
      <c r="A179" s="313" t="s">
        <v>406</v>
      </c>
      <c r="B179" s="313"/>
      <c r="C179" s="313"/>
      <c r="D179" s="99"/>
      <c r="E179" s="99"/>
      <c r="F179" s="99"/>
      <c r="G179" s="99"/>
      <c r="H179" s="99"/>
      <c r="I179" s="99"/>
      <c r="J179" s="99"/>
    </row>
    <row r="180" spans="1:10" ht="14.25" customHeight="1">
      <c r="A180" s="56" t="s">
        <v>646</v>
      </c>
      <c r="B180" s="58"/>
      <c r="C180" s="316">
        <v>10000</v>
      </c>
      <c r="D180" s="97">
        <f t="shared" ref="D180:J180" si="36">$B$180*$C$180*12*D149</f>
        <v>0</v>
      </c>
      <c r="E180" s="97">
        <f t="shared" si="36"/>
        <v>0</v>
      </c>
      <c r="F180" s="97">
        <f t="shared" si="36"/>
        <v>0</v>
      </c>
      <c r="G180" s="97">
        <f t="shared" si="36"/>
        <v>0</v>
      </c>
      <c r="H180" s="97">
        <f t="shared" si="36"/>
        <v>0</v>
      </c>
      <c r="I180" s="97">
        <f t="shared" si="36"/>
        <v>0</v>
      </c>
      <c r="J180" s="97">
        <f t="shared" si="36"/>
        <v>0</v>
      </c>
    </row>
    <row r="181" spans="1:10" ht="14.25" customHeight="1">
      <c r="A181" s="56" t="s">
        <v>647</v>
      </c>
      <c r="B181" s="58">
        <v>2</v>
      </c>
      <c r="C181" s="316"/>
      <c r="D181" s="97">
        <f t="shared" ref="D181:J181" si="37">$B$181*$C$181*12*D149</f>
        <v>0</v>
      </c>
      <c r="E181" s="97">
        <f t="shared" si="37"/>
        <v>0</v>
      </c>
      <c r="F181" s="97">
        <f t="shared" si="37"/>
        <v>0</v>
      </c>
      <c r="G181" s="97">
        <f t="shared" si="37"/>
        <v>0</v>
      </c>
      <c r="H181" s="97">
        <f t="shared" si="37"/>
        <v>0</v>
      </c>
      <c r="I181" s="97">
        <f t="shared" si="37"/>
        <v>0</v>
      </c>
      <c r="J181" s="97">
        <f t="shared" si="37"/>
        <v>0</v>
      </c>
    </row>
    <row r="182" spans="1:10" ht="14.25" customHeight="1">
      <c r="A182" s="56"/>
      <c r="B182" s="58"/>
      <c r="C182" s="316"/>
      <c r="D182" s="97"/>
      <c r="E182" s="97"/>
      <c r="F182" s="97"/>
      <c r="G182" s="97"/>
      <c r="H182" s="97"/>
      <c r="I182" s="97"/>
      <c r="J182" s="97"/>
    </row>
    <row r="183" spans="1:10" ht="14.25" customHeight="1">
      <c r="A183" s="56"/>
      <c r="B183" s="58"/>
      <c r="C183" s="316"/>
      <c r="D183" s="97"/>
      <c r="E183" s="97"/>
      <c r="F183" s="97"/>
      <c r="G183" s="97"/>
      <c r="H183" s="97"/>
      <c r="I183" s="97"/>
      <c r="J183" s="97"/>
    </row>
    <row r="184" spans="1:10" ht="14.25" customHeight="1">
      <c r="A184" s="56"/>
      <c r="B184" s="58"/>
      <c r="C184" s="316"/>
      <c r="D184" s="97"/>
      <c r="E184" s="97"/>
      <c r="F184" s="97"/>
      <c r="G184" s="97"/>
      <c r="H184" s="97"/>
      <c r="I184" s="97"/>
      <c r="J184" s="97"/>
    </row>
    <row r="185" spans="1:10" ht="14.25" customHeight="1">
      <c r="A185" s="98" t="s">
        <v>406</v>
      </c>
      <c r="B185" s="98"/>
      <c r="C185" s="98"/>
      <c r="D185" s="99">
        <f t="shared" ref="D185:J185" si="38">SUM(D180:D184)</f>
        <v>0</v>
      </c>
      <c r="E185" s="99">
        <f t="shared" si="38"/>
        <v>0</v>
      </c>
      <c r="F185" s="99">
        <f t="shared" si="38"/>
        <v>0</v>
      </c>
      <c r="G185" s="99">
        <f t="shared" si="38"/>
        <v>0</v>
      </c>
      <c r="H185" s="99">
        <f t="shared" si="38"/>
        <v>0</v>
      </c>
      <c r="I185" s="99">
        <f t="shared" si="38"/>
        <v>0</v>
      </c>
      <c r="J185" s="99">
        <f t="shared" si="38"/>
        <v>0</v>
      </c>
    </row>
    <row r="186" spans="1:10" ht="14.25" customHeight="1">
      <c r="A186" s="313" t="s">
        <v>671</v>
      </c>
      <c r="B186" s="313"/>
      <c r="C186" s="313"/>
      <c r="D186" s="99">
        <f t="shared" ref="D186:J186" si="39">D177+D185</f>
        <v>0</v>
      </c>
      <c r="E186" s="99">
        <f t="shared" si="39"/>
        <v>0</v>
      </c>
      <c r="F186" s="99">
        <f t="shared" si="39"/>
        <v>0</v>
      </c>
      <c r="G186" s="99">
        <f t="shared" si="39"/>
        <v>0</v>
      </c>
      <c r="H186" s="99">
        <f t="shared" si="39"/>
        <v>0</v>
      </c>
      <c r="I186" s="99">
        <f t="shared" si="39"/>
        <v>0</v>
      </c>
      <c r="J186" s="99">
        <f t="shared" si="39"/>
        <v>0</v>
      </c>
    </row>
    <row r="187" spans="1:10" ht="14.25" customHeight="1">
      <c r="A187" s="56"/>
      <c r="B187" s="56"/>
      <c r="C187" s="56"/>
      <c r="D187" s="97"/>
      <c r="E187" s="97"/>
      <c r="F187" s="97"/>
      <c r="G187" s="97"/>
      <c r="H187" s="97"/>
      <c r="I187" s="97"/>
      <c r="J187" s="97"/>
    </row>
    <row r="188" spans="1:10" ht="14.25" customHeight="1">
      <c r="A188" s="98" t="s">
        <v>672</v>
      </c>
      <c r="B188" s="98"/>
      <c r="C188" s="98"/>
      <c r="D188" s="99">
        <f t="shared" ref="D188:J188" si="40">D159-D186</f>
        <v>0</v>
      </c>
      <c r="E188" s="99">
        <f t="shared" si="40"/>
        <v>0</v>
      </c>
      <c r="F188" s="99">
        <f t="shared" si="40"/>
        <v>0</v>
      </c>
      <c r="G188" s="99">
        <f t="shared" si="40"/>
        <v>0</v>
      </c>
      <c r="H188" s="99">
        <f t="shared" si="40"/>
        <v>0</v>
      </c>
      <c r="I188" s="99">
        <f t="shared" si="40"/>
        <v>0</v>
      </c>
      <c r="J188" s="99">
        <f t="shared" si="40"/>
        <v>0</v>
      </c>
    </row>
    <row r="189" spans="1:10" ht="14.25" customHeight="1">
      <c r="A189" s="246"/>
      <c r="B189" s="246"/>
      <c r="C189" s="246"/>
      <c r="D189" s="92"/>
      <c r="E189" s="92"/>
      <c r="F189" s="92"/>
      <c r="G189" s="92"/>
      <c r="H189" s="92"/>
      <c r="I189" s="92"/>
      <c r="J189" s="92"/>
    </row>
    <row r="190" spans="1:10" ht="14.25" customHeight="1">
      <c r="A190" s="92"/>
      <c r="B190" s="92"/>
      <c r="C190" s="92"/>
      <c r="D190" s="92"/>
      <c r="E190" s="92"/>
      <c r="F190" s="92"/>
      <c r="G190" s="92"/>
      <c r="H190" s="92"/>
      <c r="I190" s="92"/>
      <c r="J190" s="92"/>
    </row>
    <row r="191" spans="1:10" ht="14.25" customHeight="1">
      <c r="A191" s="92"/>
      <c r="B191" s="92"/>
      <c r="C191" s="92"/>
      <c r="D191" s="92"/>
      <c r="E191" s="92"/>
      <c r="F191" s="92"/>
      <c r="G191" s="92"/>
      <c r="H191" s="92"/>
      <c r="I191" s="92"/>
      <c r="J191" s="92"/>
    </row>
    <row r="192" spans="1:10" ht="14.25" customHeight="1">
      <c r="A192" s="362" t="s">
        <v>673</v>
      </c>
      <c r="B192" s="360"/>
      <c r="C192" s="360"/>
      <c r="D192" s="360"/>
      <c r="E192" s="360"/>
      <c r="F192" s="360"/>
      <c r="G192" s="360"/>
      <c r="H192" s="360"/>
      <c r="I192" s="360"/>
      <c r="J192" s="360"/>
    </row>
    <row r="193" spans="1:5" ht="14.25" customHeight="1"/>
    <row r="194" spans="1:5" ht="14.25" customHeight="1">
      <c r="A194" t="s">
        <v>361</v>
      </c>
    </row>
    <row r="195" spans="1:5" ht="14.25" customHeight="1">
      <c r="A195">
        <v>1</v>
      </c>
      <c r="B195" t="s">
        <v>652</v>
      </c>
    </row>
    <row r="196" spans="1:5" ht="14.25" customHeight="1">
      <c r="A196">
        <v>2</v>
      </c>
      <c r="B196" t="s">
        <v>653</v>
      </c>
      <c r="C196" s="27"/>
      <c r="D196" s="27"/>
      <c r="E196" s="27"/>
    </row>
    <row r="197" spans="1:5" ht="14.25" customHeight="1">
      <c r="A197">
        <v>3</v>
      </c>
      <c r="B197" s="92" t="s">
        <v>654</v>
      </c>
    </row>
    <row r="198" spans="1:5" ht="14.25" customHeight="1"/>
    <row r="199" spans="1:5" ht="14.25" customHeight="1">
      <c r="A199" t="s">
        <v>674</v>
      </c>
      <c r="B199" t="s">
        <v>765</v>
      </c>
    </row>
    <row r="200" spans="1:5" ht="14.25" customHeight="1">
      <c r="B200" t="s">
        <v>676</v>
      </c>
    </row>
  </sheetData>
  <mergeCells count="4">
    <mergeCell ref="A3:H3"/>
    <mergeCell ref="A147:J147"/>
    <mergeCell ref="A192:J192"/>
    <mergeCell ref="A4:H4"/>
  </mergeCells>
  <pageMargins left="0.7" right="0.7" top="0.75" bottom="0.75" header="0" footer="0"/>
  <pageSetup paperSize="9" orientation="portrait"/>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
  <sheetViews>
    <sheetView workbookViewId="0">
      <selection activeCell="G26" sqref="G26"/>
    </sheetView>
  </sheetViews>
  <sheetFormatPr defaultColWidth="14.42578125" defaultRowHeight="15" customHeight="1"/>
  <cols>
    <col min="1" max="1" width="8.7109375" customWidth="1"/>
    <col min="2" max="2" width="7.5703125" customWidth="1"/>
    <col min="3" max="3" width="26.28515625" customWidth="1"/>
    <col min="4" max="4" width="15" customWidth="1"/>
    <col min="5" max="5" width="16" customWidth="1"/>
    <col min="6" max="6" width="24" customWidth="1"/>
    <col min="7" max="7" width="29.7109375" customWidth="1"/>
    <col min="8" max="8" width="5" hidden="1" customWidth="1"/>
    <col min="9" max="11" width="8.7109375" customWidth="1"/>
  </cols>
  <sheetData>
    <row r="1" spans="1:8" ht="14.25" customHeight="1"/>
    <row r="2" spans="1:8" ht="14.25" customHeight="1">
      <c r="B2" s="359" t="s">
        <v>80</v>
      </c>
      <c r="C2" s="360"/>
      <c r="D2" s="360"/>
      <c r="E2" s="360"/>
      <c r="F2" s="360"/>
    </row>
    <row r="3" spans="1:8" ht="14.25" customHeight="1"/>
    <row r="4" spans="1:8" ht="14.25" customHeight="1">
      <c r="B4" s="11" t="s">
        <v>81</v>
      </c>
      <c r="C4" s="11" t="s">
        <v>82</v>
      </c>
      <c r="D4" s="11" t="s">
        <v>83</v>
      </c>
      <c r="E4" s="12" t="s">
        <v>84</v>
      </c>
      <c r="F4" s="12" t="s">
        <v>85</v>
      </c>
    </row>
    <row r="5" spans="1:8" ht="14.25" customHeight="1">
      <c r="B5" s="13">
        <v>1</v>
      </c>
      <c r="C5" s="14" t="str">
        <f>'2.Capex Details'!B2</f>
        <v>Land and Building</v>
      </c>
      <c r="D5" s="15">
        <f>'2.Capex Details'!G11</f>
        <v>13915500</v>
      </c>
      <c r="E5" s="16">
        <v>0.6</v>
      </c>
      <c r="F5" s="17">
        <f t="shared" ref="F5:F10" si="0">D5*E5</f>
        <v>8349300</v>
      </c>
    </row>
    <row r="6" spans="1:8" ht="14.25" customHeight="1">
      <c r="B6" s="13">
        <v>2</v>
      </c>
      <c r="C6" s="14" t="str">
        <f>'2.Capex Details'!B16</f>
        <v>Machinery and Equipment</v>
      </c>
      <c r="D6" s="15">
        <f>'2.Capex Details'!G82</f>
        <v>12597099.24</v>
      </c>
      <c r="E6" s="16">
        <v>0.6</v>
      </c>
      <c r="F6" s="17">
        <f t="shared" si="0"/>
        <v>7558259.5439999998</v>
      </c>
    </row>
    <row r="7" spans="1:8" ht="14.25" customHeight="1">
      <c r="B7" s="13">
        <v>3</v>
      </c>
      <c r="C7" s="14" t="str">
        <f>'2.Capex Details'!B88</f>
        <v>Furniture and Fixture</v>
      </c>
      <c r="D7" s="15">
        <f>'2.Capex Details'!F109</f>
        <v>0</v>
      </c>
      <c r="E7" s="16">
        <v>0.6</v>
      </c>
      <c r="F7" s="17">
        <f t="shared" si="0"/>
        <v>0</v>
      </c>
    </row>
    <row r="8" spans="1:8" ht="14.25" customHeight="1">
      <c r="B8" s="13">
        <v>4</v>
      </c>
      <c r="C8" s="14" t="str">
        <f>'2.Capex Details'!B114</f>
        <v>IT &amp; It Infrastracture</v>
      </c>
      <c r="D8" s="15">
        <f>'2.Capex Details'!F143</f>
        <v>140000</v>
      </c>
      <c r="E8" s="16">
        <v>0.6</v>
      </c>
      <c r="F8" s="17">
        <f t="shared" si="0"/>
        <v>84000</v>
      </c>
    </row>
    <row r="9" spans="1:8" ht="14.25" customHeight="1">
      <c r="B9" s="13">
        <v>5</v>
      </c>
      <c r="C9" s="14" t="str">
        <f>'2.Capex Details'!B148</f>
        <v>Vehicle</v>
      </c>
      <c r="D9" s="15">
        <f>'2.Capex Details'!F172</f>
        <v>0</v>
      </c>
      <c r="E9" s="16">
        <v>0.6</v>
      </c>
      <c r="F9" s="17">
        <f t="shared" si="0"/>
        <v>0</v>
      </c>
    </row>
    <row r="10" spans="1:8" ht="14.25" customHeight="1">
      <c r="B10" s="13">
        <v>6</v>
      </c>
      <c r="C10" s="14" t="str">
        <f>'2.Capex Details'!B176</f>
        <v>Preliminary Expenses</v>
      </c>
      <c r="D10" s="15">
        <f>'2.Capex Details'!D182</f>
        <v>135000</v>
      </c>
      <c r="E10" s="16">
        <v>0.6</v>
      </c>
      <c r="F10" s="17">
        <f t="shared" si="0"/>
        <v>81000</v>
      </c>
    </row>
    <row r="11" spans="1:8" ht="14.25" customHeight="1">
      <c r="B11" s="13">
        <v>7</v>
      </c>
      <c r="C11" s="14" t="s">
        <v>86</v>
      </c>
      <c r="D11" s="15">
        <f>'5.Closing Stock &amp; W Capital'!E57</f>
        <v>717056.40028420207</v>
      </c>
      <c r="E11" s="18"/>
      <c r="F11" s="18"/>
    </row>
    <row r="12" spans="1:8" ht="14.25" customHeight="1">
      <c r="B12" s="361" t="s">
        <v>87</v>
      </c>
      <c r="C12" s="348"/>
      <c r="D12" s="19">
        <f>SUM(D5:D11)</f>
        <v>27504655.640284203</v>
      </c>
      <c r="E12" s="18"/>
      <c r="F12" s="19">
        <f>SUM(F5:F11)</f>
        <v>16072559.544</v>
      </c>
      <c r="G12" s="20"/>
    </row>
    <row r="13" spans="1:8" ht="14.25" customHeight="1">
      <c r="D13" s="21"/>
    </row>
    <row r="14" spans="1:8" ht="25.5" customHeight="1">
      <c r="A14" s="363" t="s">
        <v>88</v>
      </c>
      <c r="B14" s="360"/>
      <c r="C14" s="360"/>
      <c r="D14" s="360"/>
      <c r="E14" s="360"/>
      <c r="F14" s="360"/>
      <c r="H14" s="22"/>
    </row>
    <row r="15" spans="1:8" ht="14.25" customHeight="1"/>
    <row r="16" spans="1:8" ht="14.25" customHeight="1">
      <c r="B16" s="359" t="s">
        <v>89</v>
      </c>
      <c r="C16" s="360"/>
      <c r="D16" s="360"/>
      <c r="E16" s="360"/>
      <c r="F16" s="360"/>
    </row>
    <row r="17" spans="2:7" ht="14.25" customHeight="1"/>
    <row r="18" spans="2:7" ht="14.25" customHeight="1">
      <c r="B18" s="23" t="s">
        <v>81</v>
      </c>
      <c r="C18" s="11" t="s">
        <v>82</v>
      </c>
      <c r="D18" s="11" t="s">
        <v>90</v>
      </c>
      <c r="E18" s="11" t="s">
        <v>83</v>
      </c>
    </row>
    <row r="19" spans="2:7" ht="23.25" customHeight="1">
      <c r="B19" s="13">
        <v>1</v>
      </c>
      <c r="C19" s="422" t="s">
        <v>91</v>
      </c>
      <c r="D19" s="24"/>
      <c r="E19" s="25">
        <f>IF(F12&lt;=20000000,F12,"2,00,00,000")</f>
        <v>16072559.544</v>
      </c>
    </row>
    <row r="20" spans="2:7" ht="37.5" customHeight="1">
      <c r="B20" s="13">
        <v>2</v>
      </c>
      <c r="C20" s="14" t="s">
        <v>92</v>
      </c>
      <c r="D20" s="24"/>
      <c r="E20" s="26">
        <f>D12-E19-E21</f>
        <v>8036279.7720000008</v>
      </c>
      <c r="G20" s="27"/>
    </row>
    <row r="21" spans="2:7" ht="22.5" customHeight="1">
      <c r="B21" s="13">
        <v>3</v>
      </c>
      <c r="C21" s="422" t="s">
        <v>93</v>
      </c>
      <c r="D21" s="28">
        <v>0.1</v>
      </c>
      <c r="E21" s="26">
        <f>(SUM(D5:D10)*D21)+D11</f>
        <v>3395816.3242842024</v>
      </c>
    </row>
    <row r="22" spans="2:7" ht="14.25" customHeight="1">
      <c r="B22" s="361" t="s">
        <v>87</v>
      </c>
      <c r="C22" s="348"/>
      <c r="D22" s="29"/>
      <c r="E22" s="29">
        <f>E19+E20+E21</f>
        <v>27504655.640284203</v>
      </c>
      <c r="G22" s="20"/>
    </row>
    <row r="23" spans="2:7" ht="14.25" customHeight="1"/>
    <row r="24" spans="2:7" ht="14.25" customHeight="1">
      <c r="B24" s="362" t="s">
        <v>94</v>
      </c>
      <c r="C24" s="360"/>
      <c r="D24" s="360"/>
      <c r="E24" s="360"/>
      <c r="F24" s="360"/>
    </row>
    <row r="25" spans="2:7" ht="14.25" customHeight="1"/>
    <row r="26" spans="2:7" ht="14.25" customHeight="1">
      <c r="B26" s="359" t="s">
        <v>95</v>
      </c>
      <c r="C26" s="360"/>
      <c r="D26" s="360"/>
      <c r="E26" s="360"/>
      <c r="F26" s="360"/>
    </row>
    <row r="27" spans="2:7" ht="30" customHeight="1">
      <c r="B27" s="31" t="s">
        <v>81</v>
      </c>
      <c r="C27" s="32" t="s">
        <v>96</v>
      </c>
      <c r="D27" s="32" t="s">
        <v>97</v>
      </c>
      <c r="E27" s="31" t="s">
        <v>98</v>
      </c>
      <c r="F27" s="31" t="s">
        <v>99</v>
      </c>
    </row>
    <row r="28" spans="2:7" ht="14.25" customHeight="1">
      <c r="B28" s="33">
        <v>1</v>
      </c>
      <c r="C28" s="14" t="s">
        <v>100</v>
      </c>
      <c r="D28" s="34">
        <f>'9.1 Financial indiacators'!C49</f>
        <v>0.48587942855609578</v>
      </c>
      <c r="E28" s="33" t="s">
        <v>101</v>
      </c>
      <c r="F28" s="35" t="s">
        <v>102</v>
      </c>
      <c r="G28" s="36"/>
    </row>
    <row r="29" spans="2:7" ht="32.25" customHeight="1">
      <c r="B29" s="33">
        <v>2</v>
      </c>
      <c r="C29" s="14" t="s">
        <v>103</v>
      </c>
      <c r="D29" s="34">
        <f>'9.1 Financial indiacators'!C85</f>
        <v>0.18610755131664578</v>
      </c>
      <c r="E29" s="33" t="s">
        <v>101</v>
      </c>
      <c r="F29" s="35" t="s">
        <v>104</v>
      </c>
      <c r="G29" s="37"/>
    </row>
    <row r="30" spans="2:7" ht="48.75" customHeight="1">
      <c r="B30" s="33">
        <v>3</v>
      </c>
      <c r="C30" s="14" t="s">
        <v>105</v>
      </c>
      <c r="D30" s="34">
        <f>'9.1 Financial indiacators'!C16</f>
        <v>0.11293176152915185</v>
      </c>
      <c r="E30" s="33" t="s">
        <v>101</v>
      </c>
      <c r="F30" s="35" t="s">
        <v>106</v>
      </c>
      <c r="G30" s="37"/>
    </row>
    <row r="31" spans="2:7" ht="63.75" customHeight="1">
      <c r="B31" s="33">
        <v>4</v>
      </c>
      <c r="C31" s="14" t="s">
        <v>107</v>
      </c>
      <c r="D31" s="38">
        <f>'9.1 Financial indiacators'!C73</f>
        <v>1442762.5851667598</v>
      </c>
      <c r="E31" s="33" t="s">
        <v>108</v>
      </c>
      <c r="F31" s="35" t="s">
        <v>109</v>
      </c>
      <c r="G31" s="37"/>
    </row>
    <row r="32" spans="2:7" ht="36" customHeight="1">
      <c r="B32" s="33">
        <v>5</v>
      </c>
      <c r="C32" s="14" t="s">
        <v>110</v>
      </c>
      <c r="D32" s="39">
        <f>'9.1 Financial indiacators'!D101</f>
        <v>5.1848902031627793</v>
      </c>
      <c r="E32" s="33" t="s">
        <v>101</v>
      </c>
      <c r="F32" s="35" t="s">
        <v>111</v>
      </c>
      <c r="G32" s="37">
        <f>12*0.27</f>
        <v>3.24</v>
      </c>
    </row>
    <row r="33" spans="2:7" ht="29.25" customHeight="1">
      <c r="B33" s="33">
        <v>6</v>
      </c>
      <c r="C33" s="40" t="s">
        <v>112</v>
      </c>
      <c r="D33" s="39">
        <f>'9.1 Financial indiacators'!C116</f>
        <v>2.3323884474479519</v>
      </c>
      <c r="E33" s="41" t="s">
        <v>101</v>
      </c>
      <c r="F33" s="35" t="s">
        <v>113</v>
      </c>
      <c r="G33" s="37"/>
    </row>
    <row r="34" spans="2:7" ht="14.25" customHeight="1"/>
    <row r="35" spans="2:7" ht="14.25" customHeight="1"/>
    <row r="36" spans="2:7" ht="14.25" customHeight="1"/>
    <row r="37" spans="2:7" ht="14.25" customHeight="1"/>
    <row r="38" spans="2:7" ht="14.25" customHeight="1"/>
    <row r="39" spans="2:7" ht="14.25" customHeight="1"/>
    <row r="40" spans="2:7" ht="14.25" customHeight="1"/>
    <row r="41" spans="2:7" ht="14.25" customHeight="1"/>
    <row r="42" spans="2:7" ht="14.25" customHeight="1"/>
    <row r="43" spans="2:7" ht="14.25" customHeight="1"/>
    <row r="44" spans="2:7" ht="14.25" customHeight="1"/>
    <row r="45" spans="2:7" ht="14.25" customHeight="1"/>
    <row r="46" spans="2:7" ht="14.25" customHeight="1"/>
    <row r="47" spans="2:7" ht="14.25" customHeight="1"/>
    <row r="48" spans="2: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 footer="0"/>
  <pageSetup scale="92"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82"/>
  <sheetViews>
    <sheetView workbookViewId="0"/>
  </sheetViews>
  <sheetFormatPr defaultColWidth="14.42578125" defaultRowHeight="15" customHeight="1"/>
  <cols>
    <col min="1" max="1" width="39.42578125" customWidth="1"/>
    <col min="2" max="2" width="16.7109375" customWidth="1"/>
    <col min="3" max="3" width="15.7109375" customWidth="1"/>
    <col min="4" max="4" width="15.140625" customWidth="1"/>
    <col min="5" max="5" width="17.85546875" customWidth="1"/>
    <col min="6" max="8" width="15.140625" customWidth="1"/>
    <col min="9" max="9" width="11.28515625" customWidth="1"/>
    <col min="10" max="11" width="8.7109375" customWidth="1"/>
  </cols>
  <sheetData>
    <row r="1" spans="1:8" ht="14.25" customHeight="1"/>
    <row r="2" spans="1:8" ht="14.25" customHeight="1">
      <c r="A2" s="359" t="s">
        <v>395</v>
      </c>
      <c r="B2" s="360"/>
      <c r="C2" s="360"/>
      <c r="D2" s="360"/>
      <c r="E2" s="360"/>
      <c r="F2" s="360"/>
      <c r="G2" s="360"/>
      <c r="H2" s="360"/>
    </row>
    <row r="3" spans="1:8" ht="14.25" customHeight="1"/>
    <row r="4" spans="1:8" ht="14.25" customHeight="1">
      <c r="B4" s="189"/>
      <c r="C4" s="189"/>
      <c r="D4" s="189"/>
      <c r="E4" s="189"/>
      <c r="F4" s="189"/>
    </row>
    <row r="5" spans="1:8" ht="14.25" customHeight="1">
      <c r="A5" s="95" t="s">
        <v>201</v>
      </c>
      <c r="B5" s="96" t="s">
        <v>204</v>
      </c>
      <c r="C5" s="96" t="s">
        <v>205</v>
      </c>
      <c r="D5" s="96" t="s">
        <v>206</v>
      </c>
      <c r="E5" s="96" t="s">
        <v>207</v>
      </c>
      <c r="F5" s="96" t="s">
        <v>208</v>
      </c>
      <c r="G5" s="96" t="s">
        <v>209</v>
      </c>
      <c r="H5" s="96" t="s">
        <v>210</v>
      </c>
    </row>
    <row r="6" spans="1:8" ht="14.25" customHeight="1">
      <c r="A6" s="98" t="s">
        <v>396</v>
      </c>
      <c r="B6" s="56"/>
      <c r="C6" s="56"/>
      <c r="D6" s="56"/>
      <c r="E6" s="56"/>
      <c r="F6" s="56"/>
      <c r="G6" s="56"/>
      <c r="H6" s="56"/>
    </row>
    <row r="7" spans="1:8" ht="14.25" customHeight="1">
      <c r="A7" s="56"/>
      <c r="B7" s="56"/>
      <c r="C7" s="56"/>
      <c r="D7" s="56"/>
      <c r="E7" s="56"/>
      <c r="F7" s="56"/>
      <c r="G7" s="56"/>
      <c r="H7" s="56"/>
    </row>
    <row r="8" spans="1:8" ht="14.25" customHeight="1">
      <c r="A8" s="56" t="s">
        <v>766</v>
      </c>
      <c r="B8" s="97">
        <f>'12.Facility 1 - Flour Mill'!D183</f>
        <v>23906058.093605995</v>
      </c>
      <c r="C8" s="97">
        <f>'12.Facility 1 - Flour Mill'!E183</f>
        <v>30606045.427735046</v>
      </c>
      <c r="D8" s="97">
        <f>'12.Facility 1 - Flour Mill'!F183</f>
        <v>36760282.619858757</v>
      </c>
      <c r="E8" s="97">
        <f>'12.Facility 1 - Flour Mill'!G183</f>
        <v>43453428.417625487</v>
      </c>
      <c r="F8" s="97">
        <f>'12.Facility 1 - Flour Mill'!H183</f>
        <v>50723988.088619255</v>
      </c>
      <c r="G8" s="97">
        <f>'12.Facility 1 - Flour Mill'!I183</f>
        <v>58612970.155668333</v>
      </c>
      <c r="H8" s="97">
        <f>'12.Facility 1 - Flour Mill'!J183</f>
        <v>67164040.45920077</v>
      </c>
    </row>
    <row r="9" spans="1:8" ht="14.25" customHeight="1">
      <c r="A9" s="56" t="s">
        <v>767</v>
      </c>
      <c r="B9" s="97">
        <f>'13.Facility 2 Cleaning &amp; Gradin'!D144</f>
        <v>25323936.622074995</v>
      </c>
      <c r="C9" s="97">
        <f>'13.Facility 2 Cleaning &amp; Gradin'!E144</f>
        <v>30491826.05984287</v>
      </c>
      <c r="D9" s="97">
        <f>'13.Facility 2 Cleaning &amp; Gradin'!F144</f>
        <v>34957344.743260145</v>
      </c>
      <c r="E9" s="97">
        <f>'13.Facility 2 Cleaning &amp; Gradin'!G144</f>
        <v>39793185.729869537</v>
      </c>
      <c r="F9" s="97">
        <f>'13.Facility 2 Cleaning &amp; Gradin'!H144</f>
        <v>45025217.453281716</v>
      </c>
      <c r="G9" s="97">
        <f>'13.Facility 2 Cleaning &amp; Gradin'!I144</f>
        <v>50680969.384710439</v>
      </c>
      <c r="H9" s="97">
        <f>'13.Facility 2 Cleaning &amp; Gradin'!J144</f>
        <v>56789733.465648837</v>
      </c>
    </row>
    <row r="10" spans="1:8" ht="14.25" customHeight="1">
      <c r="A10" s="56" t="s">
        <v>399</v>
      </c>
      <c r="B10" s="97">
        <f>'14. Facility 3 Warehouse'!D23</f>
        <v>1152000</v>
      </c>
      <c r="C10" s="97">
        <f>'14. Facility 3 Warehouse'!E23</f>
        <v>1285200.0000000002</v>
      </c>
      <c r="D10" s="97">
        <f>'14. Facility 3 Warehouse'!F23</f>
        <v>1428840.0000000002</v>
      </c>
      <c r="E10" s="97">
        <f>'14. Facility 3 Warehouse'!G23</f>
        <v>1583631.0000000007</v>
      </c>
      <c r="F10" s="97">
        <f>'14. Facility 3 Warehouse'!H23</f>
        <v>1750329.0000000009</v>
      </c>
      <c r="G10" s="97">
        <f>'14. Facility 3 Warehouse'!I23</f>
        <v>1837845.4500000011</v>
      </c>
      <c r="H10" s="97">
        <f>'14. Facility 3 Warehouse'!J23</f>
        <v>1929737.7225000013</v>
      </c>
    </row>
    <row r="11" spans="1:8" ht="14.25" customHeight="1">
      <c r="A11" s="56" t="s">
        <v>400</v>
      </c>
      <c r="B11" s="97">
        <f>'15. Facility 4 Custom Hiring'!E37</f>
        <v>0</v>
      </c>
      <c r="C11" s="97">
        <f>'15. Facility 4 Custom Hiring'!F37</f>
        <v>0</v>
      </c>
      <c r="D11" s="97">
        <f>'15. Facility 4 Custom Hiring'!G37</f>
        <v>0</v>
      </c>
      <c r="E11" s="97">
        <f>'15. Facility 4 Custom Hiring'!H37</f>
        <v>0</v>
      </c>
      <c r="F11" s="97">
        <f>'15. Facility 4 Custom Hiring'!I37</f>
        <v>0</v>
      </c>
      <c r="G11" s="97">
        <f>'15. Facility 4 Custom Hiring'!J37</f>
        <v>0</v>
      </c>
      <c r="H11" s="97">
        <f>'15. Facility 4 Custom Hiring'!K37</f>
        <v>0</v>
      </c>
    </row>
    <row r="12" spans="1:8" ht="14.25" customHeight="1">
      <c r="A12" s="56" t="s">
        <v>401</v>
      </c>
      <c r="B12" s="97">
        <f>'16.Facility 5 Agri Input'!D191</f>
        <v>0</v>
      </c>
      <c r="C12" s="97">
        <f>'16.Facility 5 Agri Input'!E191</f>
        <v>0</v>
      </c>
      <c r="D12" s="97">
        <f>'16.Facility 5 Agri Input'!F191</f>
        <v>0</v>
      </c>
      <c r="E12" s="97">
        <f>'16.Facility 5 Agri Input'!G191</f>
        <v>0</v>
      </c>
      <c r="F12" s="97">
        <f>'16.Facility 5 Agri Input'!H191</f>
        <v>0</v>
      </c>
      <c r="G12" s="97">
        <f>'16.Facility 5 Agri Input'!I191</f>
        <v>0</v>
      </c>
      <c r="H12" s="97">
        <f>'16.Facility 5 Agri Input'!J191</f>
        <v>0</v>
      </c>
    </row>
    <row r="13" spans="1:8" ht="14.25" customHeight="1">
      <c r="A13" s="56" t="s">
        <v>768</v>
      </c>
      <c r="B13" s="97">
        <f>'17.Facility 6 Roasted Channa '!D159</f>
        <v>0</v>
      </c>
      <c r="C13" s="97">
        <f>'17.Facility 6 Roasted Channa '!E159</f>
        <v>0</v>
      </c>
      <c r="D13" s="97">
        <f>'17.Facility 6 Roasted Channa '!F159</f>
        <v>0</v>
      </c>
      <c r="E13" s="97">
        <f>'17.Facility 6 Roasted Channa '!G159</f>
        <v>0</v>
      </c>
      <c r="F13" s="97">
        <f>'17.Facility 6 Roasted Channa '!H159</f>
        <v>0</v>
      </c>
      <c r="G13" s="97">
        <f>'17.Facility 6 Roasted Channa '!I159</f>
        <v>0</v>
      </c>
      <c r="H13" s="97">
        <f>'17.Facility 6 Roasted Channa '!J159</f>
        <v>0</v>
      </c>
    </row>
    <row r="14" spans="1:8" ht="14.25" customHeight="1">
      <c r="A14" s="56"/>
      <c r="B14" s="97"/>
      <c r="C14" s="97"/>
      <c r="D14" s="97"/>
      <c r="E14" s="97"/>
      <c r="F14" s="97"/>
      <c r="G14" s="97"/>
      <c r="H14" s="97"/>
    </row>
    <row r="15" spans="1:8" ht="14.25" customHeight="1">
      <c r="A15" s="98" t="s">
        <v>403</v>
      </c>
      <c r="B15" s="99">
        <f t="shared" ref="B15:H15" si="0">SUM(B8:B14)</f>
        <v>50381994.715680987</v>
      </c>
      <c r="C15" s="99">
        <f t="shared" si="0"/>
        <v>62383071.487577915</v>
      </c>
      <c r="D15" s="99">
        <f t="shared" si="0"/>
        <v>73146467.363118902</v>
      </c>
      <c r="E15" s="99">
        <f t="shared" si="0"/>
        <v>84830245.147495031</v>
      </c>
      <c r="F15" s="99">
        <f t="shared" si="0"/>
        <v>97499534.541900963</v>
      </c>
      <c r="G15" s="99">
        <f t="shared" si="0"/>
        <v>111131784.99037878</v>
      </c>
      <c r="H15" s="99">
        <f t="shared" si="0"/>
        <v>125883511.6473496</v>
      </c>
    </row>
    <row r="16" spans="1:8" ht="14.25" customHeight="1">
      <c r="A16" s="56"/>
      <c r="B16" s="97"/>
      <c r="C16" s="97"/>
      <c r="D16" s="97"/>
      <c r="E16" s="97"/>
      <c r="F16" s="97"/>
      <c r="G16" s="97"/>
      <c r="H16" s="97"/>
    </row>
    <row r="17" spans="1:8" ht="14.25" customHeight="1">
      <c r="A17" s="98" t="s">
        <v>404</v>
      </c>
      <c r="B17" s="97"/>
      <c r="C17" s="97"/>
      <c r="D17" s="97"/>
      <c r="E17" s="97"/>
      <c r="F17" s="97"/>
      <c r="G17" s="97"/>
      <c r="H17" s="97"/>
    </row>
    <row r="18" spans="1:8" ht="14.25" customHeight="1">
      <c r="A18" s="56" t="str">
        <f t="shared" ref="A18:A23" si="1">A8</f>
        <v>Faclitiy 1 - Cleaning &amp; Grading</v>
      </c>
      <c r="B18" s="97">
        <f>'12.Facility 1 - Flour Mill'!D201</f>
        <v>21413146.257082801</v>
      </c>
      <c r="C18" s="97">
        <f>'12.Facility 1 - Flour Mill'!E201</f>
        <v>27316226.507694628</v>
      </c>
      <c r="D18" s="97">
        <f>'12.Facility 1 - Flour Mill'!F201</f>
        <v>32767745.68983439</v>
      </c>
      <c r="E18" s="97">
        <f>'12.Facility 1 - Flour Mill'!G201</f>
        <v>38696126.223918885</v>
      </c>
      <c r="F18" s="97">
        <f>'12.Facility 1 - Flour Mill'!H201</f>
        <v>45135425.447187245</v>
      </c>
      <c r="G18" s="97">
        <f>'12.Facility 1 - Flour Mill'!I201</f>
        <v>52121914.277222648</v>
      </c>
      <c r="H18" s="97">
        <f>'12.Facility 1 - Flour Mill'!J201</f>
        <v>59694213.426643625</v>
      </c>
    </row>
    <row r="19" spans="1:8" ht="14.25" customHeight="1">
      <c r="A19" s="56" t="str">
        <f t="shared" si="1"/>
        <v>Faclitiy 2 - Processing Unit- Dal Mill</v>
      </c>
      <c r="B19" s="97">
        <f>'13.Facility 2 Cleaning &amp; Gradin'!D163</f>
        <v>22447378.907417741</v>
      </c>
      <c r="C19" s="97">
        <f>'13.Facility 2 Cleaning &amp; Gradin'!E163</f>
        <v>26334151.921036001</v>
      </c>
      <c r="D19" s="97">
        <f>'13.Facility 2 Cleaning &amp; Gradin'!F163</f>
        <v>30171836.894686028</v>
      </c>
      <c r="E19" s="97">
        <f>'13.Facility 2 Cleaning &amp; Gradin'!G163</f>
        <v>34327454.98589848</v>
      </c>
      <c r="F19" s="97">
        <f>'13.Facility 2 Cleaning &amp; Gradin'!H163</f>
        <v>38823205.293995447</v>
      </c>
      <c r="G19" s="97">
        <f>'13.Facility 2 Cleaning &amp; Gradin'!I163</f>
        <v>43682711.995437391</v>
      </c>
      <c r="H19" s="97">
        <f>'13.Facility 2 Cleaning &amp; Gradin'!J163</f>
        <v>48931111.353788517</v>
      </c>
    </row>
    <row r="20" spans="1:8" ht="14.25" customHeight="1">
      <c r="A20" s="56" t="str">
        <f t="shared" si="1"/>
        <v>Faclitiy 3 - Warehouse</v>
      </c>
      <c r="B20" s="97">
        <f>'14. Facility 3 Warehouse'!D34</f>
        <v>419000</v>
      </c>
      <c r="C20" s="97">
        <f>'14. Facility 3 Warehouse'!E34</f>
        <v>439950</v>
      </c>
      <c r="D20" s="97">
        <f>'14. Facility 3 Warehouse'!F34</f>
        <v>461947.5</v>
      </c>
      <c r="E20" s="97">
        <f>'14. Facility 3 Warehouse'!G34</f>
        <v>485044.87500000006</v>
      </c>
      <c r="F20" s="97">
        <f>'14. Facility 3 Warehouse'!H34</f>
        <v>509297.11875000002</v>
      </c>
      <c r="G20" s="97">
        <f>'14. Facility 3 Warehouse'!I34</f>
        <v>534761.97468750016</v>
      </c>
      <c r="H20" s="97">
        <f>'14. Facility 3 Warehouse'!J34</f>
        <v>561500.07342187513</v>
      </c>
    </row>
    <row r="21" spans="1:8" ht="14.25" customHeight="1">
      <c r="A21" s="56" t="str">
        <f t="shared" si="1"/>
        <v xml:space="preserve">Faclitiy 4 - Custom Hiring </v>
      </c>
      <c r="B21" s="97">
        <f>'15. Facility 4 Custom Hiring'!E47</f>
        <v>0</v>
      </c>
      <c r="C21" s="97">
        <f>'15. Facility 4 Custom Hiring'!F47</f>
        <v>0</v>
      </c>
      <c r="D21" s="97">
        <f>'15. Facility 4 Custom Hiring'!G47</f>
        <v>0</v>
      </c>
      <c r="E21" s="97">
        <f>'15. Facility 4 Custom Hiring'!H47</f>
        <v>0</v>
      </c>
      <c r="F21" s="97">
        <f>'15. Facility 4 Custom Hiring'!I47</f>
        <v>0</v>
      </c>
      <c r="G21" s="97">
        <f>'15. Facility 4 Custom Hiring'!J47</f>
        <v>0</v>
      </c>
      <c r="H21" s="97">
        <f>'15. Facility 4 Custom Hiring'!K47</f>
        <v>0</v>
      </c>
    </row>
    <row r="22" spans="1:8" ht="14.25" customHeight="1">
      <c r="A22" s="56" t="str">
        <f t="shared" si="1"/>
        <v>Faclitiy 5 - Agri Input Centre</v>
      </c>
      <c r="B22" s="97">
        <f>'16.Facility 5 Agri Input'!D263</f>
        <v>0</v>
      </c>
      <c r="C22" s="97">
        <f>'16.Facility 5 Agri Input'!E263</f>
        <v>0</v>
      </c>
      <c r="D22" s="97">
        <f>'16.Facility 5 Agri Input'!F263</f>
        <v>0</v>
      </c>
      <c r="E22" s="97">
        <f>'16.Facility 5 Agri Input'!G263</f>
        <v>0</v>
      </c>
      <c r="F22" s="97">
        <f>'16.Facility 5 Agri Input'!H263</f>
        <v>0</v>
      </c>
      <c r="G22" s="97">
        <f>'16.Facility 5 Agri Input'!I263</f>
        <v>0</v>
      </c>
      <c r="H22" s="97">
        <f>'16.Facility 5 Agri Input'!J263</f>
        <v>0</v>
      </c>
    </row>
    <row r="23" spans="1:8" ht="14.25" customHeight="1">
      <c r="A23" s="56" t="str">
        <f t="shared" si="1"/>
        <v>Facility 6 - Processing Unit - Horti Commodity</v>
      </c>
      <c r="B23" s="97">
        <f>'17.Facility 6 Roasted Channa '!D177</f>
        <v>0</v>
      </c>
      <c r="C23" s="97">
        <f>'17.Facility 6 Roasted Channa '!E177</f>
        <v>0</v>
      </c>
      <c r="D23" s="97">
        <f>'17.Facility 6 Roasted Channa '!F177</f>
        <v>0</v>
      </c>
      <c r="E23" s="97">
        <f>'17.Facility 6 Roasted Channa '!G177</f>
        <v>0</v>
      </c>
      <c r="F23" s="97">
        <f>'17.Facility 6 Roasted Channa '!H177</f>
        <v>0</v>
      </c>
      <c r="G23" s="97">
        <f>'17.Facility 6 Roasted Channa '!I177</f>
        <v>0</v>
      </c>
      <c r="H23" s="97">
        <f>'17.Facility 6 Roasted Channa '!J177</f>
        <v>0</v>
      </c>
    </row>
    <row r="24" spans="1:8" ht="14.25" customHeight="1">
      <c r="A24" s="56"/>
      <c r="B24" s="97"/>
      <c r="C24" s="97"/>
      <c r="D24" s="97"/>
      <c r="E24" s="97"/>
      <c r="F24" s="97"/>
      <c r="G24" s="97"/>
      <c r="H24" s="97"/>
    </row>
    <row r="25" spans="1:8" ht="14.25" customHeight="1">
      <c r="A25" s="98" t="s">
        <v>405</v>
      </c>
      <c r="B25" s="99">
        <f t="shared" ref="B25:H25" si="2">SUM(B18:B24)</f>
        <v>44279525.164500542</v>
      </c>
      <c r="C25" s="99">
        <f t="shared" si="2"/>
        <v>54090328.428730629</v>
      </c>
      <c r="D25" s="99">
        <f t="shared" si="2"/>
        <v>63401530.084520414</v>
      </c>
      <c r="E25" s="99">
        <f t="shared" si="2"/>
        <v>73508626.084817365</v>
      </c>
      <c r="F25" s="99">
        <f t="shared" si="2"/>
        <v>84467927.859932691</v>
      </c>
      <c r="G25" s="99">
        <f t="shared" si="2"/>
        <v>96339388.247347549</v>
      </c>
      <c r="H25" s="99">
        <f t="shared" si="2"/>
        <v>109186824.85385402</v>
      </c>
    </row>
    <row r="26" spans="1:8" ht="14.25" customHeight="1">
      <c r="A26" s="56"/>
      <c r="B26" s="97"/>
      <c r="C26" s="97"/>
      <c r="D26" s="97"/>
      <c r="E26" s="97"/>
      <c r="F26" s="97"/>
      <c r="G26" s="97"/>
      <c r="H26" s="97"/>
    </row>
    <row r="27" spans="1:8" ht="14.25" customHeight="1">
      <c r="A27" s="98" t="s">
        <v>406</v>
      </c>
      <c r="B27" s="97"/>
      <c r="C27" s="97"/>
      <c r="D27" s="97"/>
      <c r="E27" s="97"/>
      <c r="F27" s="97"/>
      <c r="G27" s="97"/>
      <c r="H27" s="97"/>
    </row>
    <row r="28" spans="1:8" ht="14.25" customHeight="1">
      <c r="A28" s="56" t="str">
        <f t="shared" ref="A28:A33" si="3">A18</f>
        <v>Faclitiy 1 - Cleaning &amp; Grading</v>
      </c>
      <c r="B28" s="97">
        <f>'12.Facility 1 - Flour Mill'!D208</f>
        <v>240000</v>
      </c>
      <c r="C28" s="97">
        <f>'12.Facility 1 - Flour Mill'!E208</f>
        <v>252000</v>
      </c>
      <c r="D28" s="97">
        <f>'12.Facility 1 - Flour Mill'!F208</f>
        <v>264600</v>
      </c>
      <c r="E28" s="97">
        <f>'12.Facility 1 - Flour Mill'!G208</f>
        <v>277830.00000000006</v>
      </c>
      <c r="F28" s="97">
        <f>'12.Facility 1 - Flour Mill'!H208</f>
        <v>291721.50000000006</v>
      </c>
      <c r="G28" s="97">
        <f>'12.Facility 1 - Flour Mill'!I208</f>
        <v>306307.57500000007</v>
      </c>
      <c r="H28" s="97">
        <f>'12.Facility 1 - Flour Mill'!J208</f>
        <v>321622.9537500001</v>
      </c>
    </row>
    <row r="29" spans="1:8" ht="14.25" customHeight="1">
      <c r="A29" s="56" t="str">
        <f t="shared" si="3"/>
        <v>Faclitiy 2 - Processing Unit- Dal Mill</v>
      </c>
      <c r="B29" s="97">
        <f>'13.Facility 2 Cleaning &amp; Gradin'!D170</f>
        <v>240000</v>
      </c>
      <c r="C29" s="97">
        <f>'13.Facility 2 Cleaning &amp; Gradin'!E170</f>
        <v>252000</v>
      </c>
      <c r="D29" s="97">
        <f>'13.Facility 2 Cleaning &amp; Gradin'!F170</f>
        <v>264600</v>
      </c>
      <c r="E29" s="97">
        <f>'13.Facility 2 Cleaning &amp; Gradin'!G170</f>
        <v>277830.00000000006</v>
      </c>
      <c r="F29" s="97">
        <f>'13.Facility 2 Cleaning &amp; Gradin'!H170</f>
        <v>291721.5</v>
      </c>
      <c r="G29" s="97">
        <f>'13.Facility 2 Cleaning &amp; Gradin'!I170</f>
        <v>306307.57500000007</v>
      </c>
      <c r="H29" s="97">
        <f>'13.Facility 2 Cleaning &amp; Gradin'!J170</f>
        <v>321622.9537500001</v>
      </c>
    </row>
    <row r="30" spans="1:8" ht="14.25" customHeight="1">
      <c r="A30" s="56" t="str">
        <f t="shared" si="3"/>
        <v>Faclitiy 3 - Warehouse</v>
      </c>
      <c r="B30" s="97">
        <f>'14. Facility 3 Warehouse'!D43</f>
        <v>120000</v>
      </c>
      <c r="C30" s="97">
        <f>'14. Facility 3 Warehouse'!E43</f>
        <v>126000</v>
      </c>
      <c r="D30" s="97">
        <f>'14. Facility 3 Warehouse'!F43</f>
        <v>132300</v>
      </c>
      <c r="E30" s="97">
        <f>'14. Facility 3 Warehouse'!G43</f>
        <v>138915.00000000003</v>
      </c>
      <c r="F30" s="97">
        <f>'14. Facility 3 Warehouse'!H43</f>
        <v>145860.75000000003</v>
      </c>
      <c r="G30" s="97">
        <f>'14. Facility 3 Warehouse'!I43</f>
        <v>153153.78750000003</v>
      </c>
      <c r="H30" s="97">
        <f>'14. Facility 3 Warehouse'!J43</f>
        <v>160811.47687500005</v>
      </c>
    </row>
    <row r="31" spans="1:8" ht="14.25" customHeight="1">
      <c r="A31" s="56" t="str">
        <f t="shared" si="3"/>
        <v xml:space="preserve">Faclitiy 4 - Custom Hiring </v>
      </c>
      <c r="B31" s="97">
        <f>'15. Facility 4 Custom Hiring'!E52</f>
        <v>0</v>
      </c>
      <c r="C31" s="97">
        <f>'15. Facility 4 Custom Hiring'!F52</f>
        <v>0</v>
      </c>
      <c r="D31" s="97">
        <f>'15. Facility 4 Custom Hiring'!G52</f>
        <v>0</v>
      </c>
      <c r="E31" s="97">
        <f>'15. Facility 4 Custom Hiring'!H52</f>
        <v>0</v>
      </c>
      <c r="F31" s="97">
        <f>'15. Facility 4 Custom Hiring'!I52</f>
        <v>0</v>
      </c>
      <c r="G31" s="97">
        <f>'15. Facility 4 Custom Hiring'!J52</f>
        <v>0</v>
      </c>
      <c r="H31" s="97">
        <f>'15. Facility 4 Custom Hiring'!K52</f>
        <v>0</v>
      </c>
    </row>
    <row r="32" spans="1:8" ht="14.25" customHeight="1">
      <c r="A32" s="56" t="str">
        <f t="shared" si="3"/>
        <v>Faclitiy 5 - Agri Input Centre</v>
      </c>
      <c r="B32" s="97">
        <f>'16.Facility 5 Agri Input'!D274</f>
        <v>0</v>
      </c>
      <c r="C32" s="97">
        <f>'16.Facility 5 Agri Input'!E274</f>
        <v>0</v>
      </c>
      <c r="D32" s="97">
        <f>'16.Facility 5 Agri Input'!F274</f>
        <v>0</v>
      </c>
      <c r="E32" s="97">
        <f>'16.Facility 5 Agri Input'!G274</f>
        <v>0</v>
      </c>
      <c r="F32" s="97">
        <f>'16.Facility 5 Agri Input'!H274</f>
        <v>0</v>
      </c>
      <c r="G32" s="97">
        <f>'16.Facility 5 Agri Input'!I274</f>
        <v>0</v>
      </c>
      <c r="H32" s="97">
        <f>'16.Facility 5 Agri Input'!J274</f>
        <v>0</v>
      </c>
    </row>
    <row r="33" spans="1:8" ht="14.25" customHeight="1">
      <c r="A33" s="56" t="str">
        <f t="shared" si="3"/>
        <v>Facility 6 - Processing Unit - Horti Commodity</v>
      </c>
      <c r="B33" s="97">
        <f>'17.Facility 6 Roasted Channa '!D185</f>
        <v>0</v>
      </c>
      <c r="C33" s="97">
        <f>'17.Facility 6 Roasted Channa '!E185</f>
        <v>0</v>
      </c>
      <c r="D33" s="97">
        <f>'17.Facility 6 Roasted Channa '!F185</f>
        <v>0</v>
      </c>
      <c r="E33" s="97">
        <f>'17.Facility 6 Roasted Channa '!G185</f>
        <v>0</v>
      </c>
      <c r="F33" s="97">
        <f>'17.Facility 6 Roasted Channa '!H185</f>
        <v>0</v>
      </c>
      <c r="G33" s="97">
        <f>'17.Facility 6 Roasted Channa '!I185</f>
        <v>0</v>
      </c>
      <c r="H33" s="97">
        <f>'17.Facility 6 Roasted Channa '!J185</f>
        <v>0</v>
      </c>
    </row>
    <row r="34" spans="1:8" ht="14.25" customHeight="1">
      <c r="A34" s="56"/>
      <c r="B34" s="97"/>
      <c r="C34" s="97"/>
      <c r="D34" s="97"/>
      <c r="E34" s="97"/>
      <c r="F34" s="97"/>
      <c r="G34" s="97"/>
      <c r="H34" s="97"/>
    </row>
    <row r="35" spans="1:8" ht="14.25" customHeight="1">
      <c r="A35" s="56" t="s">
        <v>407</v>
      </c>
      <c r="B35" s="97">
        <f>'3.Other Exp &amp; Taxes'!E24</f>
        <v>1612000</v>
      </c>
      <c r="C35" s="97">
        <f>'3.Other Exp &amp; Taxes'!F24</f>
        <v>1692600</v>
      </c>
      <c r="D35" s="97">
        <f>'3.Other Exp &amp; Taxes'!G24</f>
        <v>1777230</v>
      </c>
      <c r="E35" s="97">
        <f>'3.Other Exp &amp; Taxes'!H24</f>
        <v>1866091.5000000002</v>
      </c>
      <c r="F35" s="97">
        <f>'3.Other Exp &amp; Taxes'!I24</f>
        <v>1959396.0750000002</v>
      </c>
      <c r="G35" s="97">
        <f>'3.Other Exp &amp; Taxes'!J24</f>
        <v>2057365.8787500004</v>
      </c>
      <c r="H35" s="97">
        <f>'3.Other Exp &amp; Taxes'!K24</f>
        <v>2160234.1726875007</v>
      </c>
    </row>
    <row r="36" spans="1:8" ht="14.25" customHeight="1">
      <c r="A36" s="98" t="s">
        <v>408</v>
      </c>
      <c r="B36" s="99">
        <f t="shared" ref="B36:H36" si="4">SUM(B28:B35)</f>
        <v>2212000</v>
      </c>
      <c r="C36" s="99">
        <f t="shared" si="4"/>
        <v>2322600</v>
      </c>
      <c r="D36" s="99">
        <f t="shared" si="4"/>
        <v>2438730</v>
      </c>
      <c r="E36" s="99">
        <f t="shared" si="4"/>
        <v>2560666.5000000005</v>
      </c>
      <c r="F36" s="99">
        <f t="shared" si="4"/>
        <v>2688699.8250000002</v>
      </c>
      <c r="G36" s="99">
        <f t="shared" si="4"/>
        <v>2823134.8162500006</v>
      </c>
      <c r="H36" s="99">
        <f t="shared" si="4"/>
        <v>2964291.5570625011</v>
      </c>
    </row>
    <row r="37" spans="1:8" ht="14.25" customHeight="1">
      <c r="A37" s="56"/>
      <c r="B37" s="97"/>
      <c r="C37" s="97"/>
      <c r="D37" s="97"/>
      <c r="E37" s="97"/>
      <c r="F37" s="97"/>
      <c r="G37" s="97"/>
      <c r="H37" s="97"/>
    </row>
    <row r="38" spans="1:8" ht="14.25" customHeight="1">
      <c r="A38" s="98" t="s">
        <v>409</v>
      </c>
      <c r="B38" s="99">
        <f t="shared" ref="B38:H38" si="5">B25+B36</f>
        <v>46491525.164500542</v>
      </c>
      <c r="C38" s="99">
        <f t="shared" si="5"/>
        <v>56412928.428730629</v>
      </c>
      <c r="D38" s="99">
        <f t="shared" si="5"/>
        <v>65840260.084520414</v>
      </c>
      <c r="E38" s="99">
        <f t="shared" si="5"/>
        <v>76069292.584817365</v>
      </c>
      <c r="F38" s="99">
        <f t="shared" si="5"/>
        <v>87156627.684932694</v>
      </c>
      <c r="G38" s="99">
        <f t="shared" si="5"/>
        <v>99162523.063597545</v>
      </c>
      <c r="H38" s="99">
        <f t="shared" si="5"/>
        <v>112151116.41091652</v>
      </c>
    </row>
    <row r="39" spans="1:8" ht="14.25" customHeight="1">
      <c r="A39" s="56"/>
      <c r="B39" s="97"/>
      <c r="C39" s="97"/>
      <c r="D39" s="97"/>
      <c r="E39" s="97"/>
      <c r="F39" s="97"/>
      <c r="G39" s="97"/>
      <c r="H39" s="97"/>
    </row>
    <row r="40" spans="1:8" ht="14.25" customHeight="1">
      <c r="A40" s="98" t="s">
        <v>410</v>
      </c>
      <c r="B40" s="99">
        <f t="shared" ref="B40:H40" si="6">B15-B38</f>
        <v>3890469.5511804447</v>
      </c>
      <c r="C40" s="99">
        <f t="shared" si="6"/>
        <v>5970143.0588472858</v>
      </c>
      <c r="D40" s="99">
        <f t="shared" si="6"/>
        <v>7306207.2785984874</v>
      </c>
      <c r="E40" s="99">
        <f t="shared" si="6"/>
        <v>8760952.5626776665</v>
      </c>
      <c r="F40" s="99">
        <f t="shared" si="6"/>
        <v>10342906.856968269</v>
      </c>
      <c r="G40" s="99">
        <f t="shared" si="6"/>
        <v>11969261.926781237</v>
      </c>
      <c r="H40" s="99">
        <f t="shared" si="6"/>
        <v>13732395.236433074</v>
      </c>
    </row>
    <row r="41" spans="1:8" ht="14.25" customHeight="1">
      <c r="A41" s="56"/>
      <c r="B41" s="97"/>
      <c r="C41" s="97"/>
      <c r="D41" s="97"/>
      <c r="E41" s="97"/>
      <c r="F41" s="97"/>
      <c r="G41" s="97"/>
      <c r="H41" s="97"/>
    </row>
    <row r="42" spans="1:8" ht="14.25" customHeight="1">
      <c r="A42" s="56" t="s">
        <v>232</v>
      </c>
      <c r="B42" s="97">
        <f>'3.Other Exp &amp; Taxes'!C67</f>
        <v>1252517.731892</v>
      </c>
      <c r="C42" s="97">
        <f>'3.Other Exp &amp; Taxes'!D67</f>
        <v>1252517.731892</v>
      </c>
      <c r="D42" s="97">
        <f>'3.Other Exp &amp; Taxes'!E67</f>
        <v>1252517.731892</v>
      </c>
      <c r="E42" s="97">
        <f>'3.Other Exp &amp; Taxes'!F67</f>
        <v>1252517.731892</v>
      </c>
      <c r="F42" s="97">
        <f>'3.Other Exp &amp; Taxes'!G67</f>
        <v>1252517.731892</v>
      </c>
      <c r="G42" s="97">
        <f>'3.Other Exp &amp; Taxes'!H67</f>
        <v>1252517.731892</v>
      </c>
      <c r="H42" s="97">
        <f>'3.Other Exp &amp; Taxes'!I67</f>
        <v>1252517.731892</v>
      </c>
    </row>
    <row r="43" spans="1:8" ht="14.25" customHeight="1">
      <c r="A43" s="56" t="s">
        <v>411</v>
      </c>
      <c r="B43" s="97">
        <f>'3.Other Exp &amp; Taxes'!C88</f>
        <v>27000</v>
      </c>
      <c r="C43" s="97">
        <f>'3.Other Exp &amp; Taxes'!D88</f>
        <v>27000</v>
      </c>
      <c r="D43" s="97">
        <f>'3.Other Exp &amp; Taxes'!E88</f>
        <v>27000</v>
      </c>
      <c r="E43" s="97">
        <f>'3.Other Exp &amp; Taxes'!F88</f>
        <v>27000</v>
      </c>
      <c r="F43" s="97">
        <f>'3.Other Exp &amp; Taxes'!G88</f>
        <v>27000</v>
      </c>
      <c r="G43" s="97">
        <f>'3.Other Exp &amp; Taxes'!H88</f>
        <v>0</v>
      </c>
      <c r="H43" s="97">
        <f>'3.Other Exp &amp; Taxes'!I88</f>
        <v>0</v>
      </c>
    </row>
    <row r="44" spans="1:8" ht="14.25" customHeight="1">
      <c r="A44" s="56"/>
      <c r="B44" s="97"/>
      <c r="C44" s="97"/>
      <c r="D44" s="97"/>
      <c r="E44" s="97"/>
      <c r="F44" s="97"/>
      <c r="G44" s="97"/>
      <c r="H44" s="97"/>
    </row>
    <row r="45" spans="1:8" ht="14.25" customHeight="1">
      <c r="A45" s="98" t="s">
        <v>412</v>
      </c>
      <c r="B45" s="99">
        <f t="shared" ref="B45:H45" si="7">B40-B42-B43</f>
        <v>2610951.8192884447</v>
      </c>
      <c r="C45" s="99">
        <f t="shared" si="7"/>
        <v>4690625.3269552859</v>
      </c>
      <c r="D45" s="99">
        <f t="shared" si="7"/>
        <v>6026689.5467064874</v>
      </c>
      <c r="E45" s="99">
        <f t="shared" si="7"/>
        <v>7481434.8307856666</v>
      </c>
      <c r="F45" s="99">
        <f t="shared" si="7"/>
        <v>9063389.1250762679</v>
      </c>
      <c r="G45" s="99">
        <f t="shared" si="7"/>
        <v>10716744.194889236</v>
      </c>
      <c r="H45" s="99">
        <f t="shared" si="7"/>
        <v>12479877.504541073</v>
      </c>
    </row>
    <row r="46" spans="1:8" ht="14.25" customHeight="1">
      <c r="A46" s="56"/>
      <c r="B46" s="97"/>
      <c r="C46" s="97"/>
      <c r="D46" s="97"/>
      <c r="E46" s="97"/>
      <c r="F46" s="97"/>
      <c r="G46" s="97"/>
      <c r="H46" s="97"/>
    </row>
    <row r="47" spans="1:8" ht="14.25" customHeight="1">
      <c r="A47" s="56" t="s">
        <v>769</v>
      </c>
      <c r="B47" s="97" t="e">
        <f>SUM(D76:D87)+'8.Cash Flow '!C29</f>
        <v>#REF!</v>
      </c>
      <c r="C47" s="97" t="e">
        <f>SUM(D88:D99)+'8.Cash Flow '!D29</f>
        <v>#REF!</v>
      </c>
      <c r="D47" s="97" t="e">
        <f>SUM(D100:D111)+'8.Cash Flow '!E29</f>
        <v>#REF!</v>
      </c>
      <c r="E47" s="97" t="e">
        <f>SUM(D112:D123)+'8.Cash Flow '!F29</f>
        <v>#REF!</v>
      </c>
      <c r="F47" s="97" t="e">
        <f>SUM(D124:D135)+'8.Cash Flow '!G29</f>
        <v>#REF!</v>
      </c>
      <c r="G47" s="97" t="e">
        <f>SUM(D136:D147)+'8.Cash Flow '!H29</f>
        <v>#REF!</v>
      </c>
      <c r="H47" s="97" t="e">
        <f>SUM(D148:D159)+'8.Cash Flow '!I29</f>
        <v>#REF!</v>
      </c>
    </row>
    <row r="48" spans="1:8" ht="14.25" customHeight="1">
      <c r="A48" s="56"/>
      <c r="B48" s="97"/>
      <c r="C48" s="97"/>
      <c r="D48" s="97"/>
      <c r="E48" s="97"/>
      <c r="F48" s="97"/>
      <c r="G48" s="97"/>
      <c r="H48" s="97"/>
    </row>
    <row r="49" spans="1:8" ht="14.25" customHeight="1">
      <c r="A49" s="56" t="s">
        <v>414</v>
      </c>
      <c r="B49" s="97" t="e">
        <f t="shared" ref="B49:H49" si="8">B45-B47</f>
        <v>#REF!</v>
      </c>
      <c r="C49" s="97" t="e">
        <f t="shared" si="8"/>
        <v>#REF!</v>
      </c>
      <c r="D49" s="97" t="e">
        <f t="shared" si="8"/>
        <v>#REF!</v>
      </c>
      <c r="E49" s="97" t="e">
        <f t="shared" si="8"/>
        <v>#REF!</v>
      </c>
      <c r="F49" s="97" t="e">
        <f t="shared" si="8"/>
        <v>#REF!</v>
      </c>
      <c r="G49" s="97" t="e">
        <f t="shared" si="8"/>
        <v>#REF!</v>
      </c>
      <c r="H49" s="97" t="e">
        <f t="shared" si="8"/>
        <v>#REF!</v>
      </c>
    </row>
    <row r="50" spans="1:8" ht="14.25" customHeight="1">
      <c r="A50" s="56" t="s">
        <v>415</v>
      </c>
      <c r="B50" s="330" t="e">
        <f t="shared" ref="B50:H50" si="9">B61</f>
        <v>#REF!</v>
      </c>
      <c r="C50" s="330" t="e">
        <f t="shared" si="9"/>
        <v>#REF!</v>
      </c>
      <c r="D50" s="330" t="e">
        <f t="shared" si="9"/>
        <v>#REF!</v>
      </c>
      <c r="E50" s="330" t="e">
        <f t="shared" si="9"/>
        <v>#REF!</v>
      </c>
      <c r="F50" s="330" t="e">
        <f t="shared" si="9"/>
        <v>#REF!</v>
      </c>
      <c r="G50" s="330" t="e">
        <f t="shared" si="9"/>
        <v>#REF!</v>
      </c>
      <c r="H50" s="330" t="e">
        <f t="shared" si="9"/>
        <v>#REF!</v>
      </c>
    </row>
    <row r="51" spans="1:8" ht="14.25" customHeight="1">
      <c r="A51" s="98" t="s">
        <v>416</v>
      </c>
      <c r="B51" s="97" t="e">
        <f t="shared" ref="B51:H51" si="10">B49-B50</f>
        <v>#REF!</v>
      </c>
      <c r="C51" s="97" t="e">
        <f t="shared" si="10"/>
        <v>#REF!</v>
      </c>
      <c r="D51" s="97" t="e">
        <f t="shared" si="10"/>
        <v>#REF!</v>
      </c>
      <c r="E51" s="97" t="e">
        <f t="shared" si="10"/>
        <v>#REF!</v>
      </c>
      <c r="F51" s="97" t="e">
        <f t="shared" si="10"/>
        <v>#REF!</v>
      </c>
      <c r="G51" s="97" t="e">
        <f t="shared" si="10"/>
        <v>#REF!</v>
      </c>
      <c r="H51" s="97" t="e">
        <f t="shared" si="10"/>
        <v>#REF!</v>
      </c>
    </row>
    <row r="52" spans="1:8" ht="14.25" customHeight="1"/>
    <row r="53" spans="1:8" ht="14.25" customHeight="1">
      <c r="A53" s="131"/>
      <c r="B53" s="120"/>
      <c r="C53" s="120"/>
      <c r="D53" s="120"/>
      <c r="E53" s="120"/>
      <c r="F53" s="120"/>
      <c r="G53" s="120"/>
      <c r="H53" s="120"/>
    </row>
    <row r="54" spans="1:8" ht="14.25" customHeight="1">
      <c r="A54" s="375" t="s">
        <v>254</v>
      </c>
      <c r="B54" s="360"/>
      <c r="C54" s="360"/>
      <c r="D54" s="360"/>
      <c r="E54" s="360"/>
      <c r="F54" s="360"/>
      <c r="G54" s="360"/>
      <c r="H54" s="360"/>
    </row>
    <row r="55" spans="1:8" ht="14.25" customHeight="1">
      <c r="A55" s="121"/>
      <c r="B55" s="120"/>
      <c r="C55" s="120"/>
      <c r="D55" s="120"/>
      <c r="E55" s="120"/>
      <c r="F55" s="120"/>
      <c r="G55" s="120"/>
      <c r="H55" s="120"/>
    </row>
    <row r="56" spans="1:8" ht="14.25" customHeight="1">
      <c r="A56" s="95" t="s">
        <v>201</v>
      </c>
      <c r="B56" s="96" t="s">
        <v>204</v>
      </c>
      <c r="C56" s="96" t="s">
        <v>205</v>
      </c>
      <c r="D56" s="96" t="s">
        <v>206</v>
      </c>
      <c r="E56" s="96" t="s">
        <v>207</v>
      </c>
      <c r="F56" s="96" t="s">
        <v>208</v>
      </c>
      <c r="G56" s="96" t="s">
        <v>209</v>
      </c>
      <c r="H56" s="96" t="s">
        <v>210</v>
      </c>
    </row>
    <row r="57" spans="1:8" ht="14.25" customHeight="1">
      <c r="A57" s="133" t="s">
        <v>255</v>
      </c>
      <c r="B57" s="134" t="e">
        <f t="shared" ref="B57:H57" si="11">B49</f>
        <v>#REF!</v>
      </c>
      <c r="C57" s="134" t="e">
        <f t="shared" si="11"/>
        <v>#REF!</v>
      </c>
      <c r="D57" s="134" t="e">
        <f t="shared" si="11"/>
        <v>#REF!</v>
      </c>
      <c r="E57" s="134" t="e">
        <f t="shared" si="11"/>
        <v>#REF!</v>
      </c>
      <c r="F57" s="134" t="e">
        <f t="shared" si="11"/>
        <v>#REF!</v>
      </c>
      <c r="G57" s="134" t="e">
        <f t="shared" si="11"/>
        <v>#REF!</v>
      </c>
      <c r="H57" s="134" t="e">
        <f t="shared" si="11"/>
        <v>#REF!</v>
      </c>
    </row>
    <row r="58" spans="1:8" ht="14.25" customHeight="1">
      <c r="A58" s="133" t="s">
        <v>256</v>
      </c>
      <c r="B58" s="134">
        <f t="shared" ref="B58:H58" si="12">B42</f>
        <v>1252517.731892</v>
      </c>
      <c r="C58" s="134">
        <f t="shared" si="12"/>
        <v>1252517.731892</v>
      </c>
      <c r="D58" s="134">
        <f t="shared" si="12"/>
        <v>1252517.731892</v>
      </c>
      <c r="E58" s="134">
        <f t="shared" si="12"/>
        <v>1252517.731892</v>
      </c>
      <c r="F58" s="134">
        <f t="shared" si="12"/>
        <v>1252517.731892</v>
      </c>
      <c r="G58" s="134">
        <f t="shared" si="12"/>
        <v>1252517.731892</v>
      </c>
      <c r="H58" s="134">
        <f t="shared" si="12"/>
        <v>1252517.731892</v>
      </c>
    </row>
    <row r="59" spans="1:8" ht="14.25" customHeight="1">
      <c r="A59" s="133" t="s">
        <v>257</v>
      </c>
      <c r="B59" s="134">
        <f>'3.Other Exp &amp; Taxes'!K67</f>
        <v>3337114.8859999999</v>
      </c>
      <c r="C59" s="134">
        <f>'3.Other Exp &amp; Taxes'!L67</f>
        <v>2892125.1530999998</v>
      </c>
      <c r="D59" s="134">
        <f>'3.Other Exp &amp; Taxes'!M67</f>
        <v>2512526.1301349998</v>
      </c>
      <c r="E59" s="134">
        <f>'3.Other Exp &amp; Taxes'!N67</f>
        <v>2186964.9856147501</v>
      </c>
      <c r="F59" s="134">
        <f>'3.Other Exp &amp; Taxes'!O67</f>
        <v>1906618.2352725377</v>
      </c>
      <c r="G59" s="134">
        <f>'3.Other Exp &amp; Taxes'!P67</f>
        <v>1664460.8977316571</v>
      </c>
      <c r="H59" s="134">
        <f>'3.Other Exp &amp; Taxes'!Q67</f>
        <v>1454787.9410469085</v>
      </c>
    </row>
    <row r="60" spans="1:8" ht="14.25" customHeight="1">
      <c r="A60" s="133" t="s">
        <v>258</v>
      </c>
      <c r="B60" s="134" t="e">
        <f t="shared" ref="B60:H60" si="13">B57+B58-B59</f>
        <v>#REF!</v>
      </c>
      <c r="C60" s="134" t="e">
        <f t="shared" si="13"/>
        <v>#REF!</v>
      </c>
      <c r="D60" s="134" t="e">
        <f t="shared" si="13"/>
        <v>#REF!</v>
      </c>
      <c r="E60" s="134" t="e">
        <f t="shared" si="13"/>
        <v>#REF!</v>
      </c>
      <c r="F60" s="134" t="e">
        <f t="shared" si="13"/>
        <v>#REF!</v>
      </c>
      <c r="G60" s="134" t="e">
        <f t="shared" si="13"/>
        <v>#REF!</v>
      </c>
      <c r="H60" s="134" t="e">
        <f t="shared" si="13"/>
        <v>#REF!</v>
      </c>
    </row>
    <row r="61" spans="1:8" ht="14.25" customHeight="1">
      <c r="A61" s="136" t="s">
        <v>259</v>
      </c>
      <c r="B61" s="331" t="e">
        <f t="shared" ref="B61:H61" si="14">IF(B60&gt;0,B60*$B$64,"0")</f>
        <v>#REF!</v>
      </c>
      <c r="C61" s="137" t="e">
        <f t="shared" si="14"/>
        <v>#REF!</v>
      </c>
      <c r="D61" s="137" t="e">
        <f t="shared" si="14"/>
        <v>#REF!</v>
      </c>
      <c r="E61" s="137" t="e">
        <f t="shared" si="14"/>
        <v>#REF!</v>
      </c>
      <c r="F61" s="137" t="e">
        <f t="shared" si="14"/>
        <v>#REF!</v>
      </c>
      <c r="G61" s="137" t="e">
        <f t="shared" si="14"/>
        <v>#REF!</v>
      </c>
      <c r="H61" s="137" t="e">
        <f t="shared" si="14"/>
        <v>#REF!</v>
      </c>
    </row>
    <row r="62" spans="1:8" ht="14.25" customHeight="1">
      <c r="A62" s="138"/>
      <c r="B62" s="120"/>
      <c r="C62" s="120"/>
      <c r="D62" s="120"/>
      <c r="E62" s="120"/>
      <c r="F62" s="120"/>
      <c r="G62" s="120"/>
      <c r="H62" s="120"/>
    </row>
    <row r="63" spans="1:8" ht="14.25" customHeight="1">
      <c r="A63" s="138"/>
      <c r="B63" s="125"/>
      <c r="C63" s="125"/>
      <c r="D63" s="125"/>
      <c r="E63" s="125"/>
      <c r="F63" s="125"/>
      <c r="G63" s="125"/>
      <c r="H63" s="125"/>
    </row>
    <row r="64" spans="1:8" ht="14.25" customHeight="1">
      <c r="A64" s="139" t="s">
        <v>260</v>
      </c>
      <c r="B64" s="140">
        <v>0.26</v>
      </c>
      <c r="C64" s="125"/>
      <c r="D64" s="125"/>
      <c r="E64" s="125"/>
      <c r="F64" s="125"/>
      <c r="G64" s="125"/>
      <c r="H64" s="125"/>
    </row>
    <row r="65" spans="1:8" ht="14.25" customHeight="1">
      <c r="A65" s="120"/>
      <c r="B65" s="120"/>
      <c r="C65" s="120"/>
      <c r="D65" s="120"/>
      <c r="E65" s="120"/>
      <c r="F65" s="120"/>
      <c r="G65" s="120"/>
      <c r="H65" s="120"/>
    </row>
    <row r="66" spans="1:8" ht="14.25" customHeight="1">
      <c r="A66" s="376" t="s">
        <v>261</v>
      </c>
      <c r="B66" s="360"/>
      <c r="C66" s="360"/>
      <c r="D66" s="360"/>
      <c r="E66" s="360"/>
      <c r="F66" s="360"/>
      <c r="G66" s="360"/>
      <c r="H66" s="360"/>
    </row>
    <row r="67" spans="1:8" ht="14.25" customHeight="1"/>
    <row r="68" spans="1:8" ht="14.25" customHeight="1">
      <c r="A68" s="359" t="s">
        <v>281</v>
      </c>
      <c r="B68" s="360"/>
      <c r="C68" s="360"/>
      <c r="D68" s="360"/>
      <c r="E68" s="360"/>
      <c r="F68" s="360"/>
      <c r="G68" s="383"/>
    </row>
    <row r="69" spans="1:8" ht="14.25" customHeight="1">
      <c r="B69" s="54"/>
      <c r="C69" s="54"/>
      <c r="D69" s="54"/>
      <c r="E69" s="54"/>
      <c r="F69" s="54"/>
      <c r="G69" s="54"/>
    </row>
    <row r="70" spans="1:8" ht="14.25" customHeight="1">
      <c r="A70" s="92" t="s">
        <v>282</v>
      </c>
      <c r="B70" s="158" t="e">
        <f>'1.Project Cost and MOF'!#REF!</f>
        <v>#REF!</v>
      </c>
      <c r="E70" s="92"/>
      <c r="F70" s="92"/>
      <c r="G70" s="92"/>
    </row>
    <row r="71" spans="1:8" ht="14.25" customHeight="1">
      <c r="A71" s="92" t="s">
        <v>283</v>
      </c>
      <c r="B71" s="159">
        <v>0.12</v>
      </c>
      <c r="E71" s="92"/>
      <c r="F71" s="92"/>
      <c r="G71" s="92"/>
    </row>
    <row r="72" spans="1:8" ht="14.25" customHeight="1">
      <c r="A72" s="92" t="s">
        <v>284</v>
      </c>
      <c r="B72" s="160">
        <v>7</v>
      </c>
      <c r="E72" s="92"/>
      <c r="F72" s="92"/>
      <c r="G72" s="92"/>
    </row>
    <row r="73" spans="1:8" ht="14.25" customHeight="1">
      <c r="A73" s="92" t="s">
        <v>285</v>
      </c>
      <c r="B73" s="160">
        <v>6</v>
      </c>
      <c r="E73" s="92"/>
      <c r="F73" s="92"/>
      <c r="G73" s="92"/>
    </row>
    <row r="74" spans="1:8" ht="14.25" customHeight="1">
      <c r="A74" s="92" t="s">
        <v>286</v>
      </c>
      <c r="B74" s="161" t="e">
        <f>PMT(B71/12,(B72-(B73/12))*12,-B70)</f>
        <v>#REF!</v>
      </c>
      <c r="E74" s="161"/>
      <c r="F74" s="162"/>
      <c r="G74" s="92"/>
    </row>
    <row r="75" spans="1:8" ht="14.25" customHeight="1">
      <c r="A75" s="95" t="s">
        <v>287</v>
      </c>
      <c r="B75" s="163" t="s">
        <v>288</v>
      </c>
      <c r="C75" s="164" t="s">
        <v>289</v>
      </c>
      <c r="D75" s="164" t="s">
        <v>290</v>
      </c>
      <c r="E75" s="164" t="s">
        <v>291</v>
      </c>
      <c r="F75" s="164" t="s">
        <v>286</v>
      </c>
      <c r="G75" s="164" t="s">
        <v>292</v>
      </c>
    </row>
    <row r="76" spans="1:8" ht="14.25" customHeight="1">
      <c r="A76" s="56" t="s">
        <v>293</v>
      </c>
      <c r="B76" s="56" t="s">
        <v>294</v>
      </c>
      <c r="C76" s="97" t="e">
        <f>B70</f>
        <v>#REF!</v>
      </c>
      <c r="D76" s="97" t="e">
        <f t="shared" ref="D76:D159" si="15">C76*$B$71/12</f>
        <v>#REF!</v>
      </c>
      <c r="E76" s="97" t="e">
        <f t="shared" ref="E76:E159" si="16">F76-D76</f>
        <v>#REF!</v>
      </c>
      <c r="F76" s="97" t="e">
        <f t="shared" ref="F76:F81" si="17">D76</f>
        <v>#REF!</v>
      </c>
      <c r="G76" s="97" t="e">
        <f t="shared" ref="G76:G159" si="18">C76-E76</f>
        <v>#REF!</v>
      </c>
    </row>
    <row r="77" spans="1:8" ht="14.25" customHeight="1">
      <c r="A77" s="56"/>
      <c r="B77" s="56" t="s">
        <v>295</v>
      </c>
      <c r="C77" s="97" t="e">
        <f t="shared" ref="C77:C159" si="19">G76</f>
        <v>#REF!</v>
      </c>
      <c r="D77" s="97" t="e">
        <f t="shared" si="15"/>
        <v>#REF!</v>
      </c>
      <c r="E77" s="97" t="e">
        <f t="shared" si="16"/>
        <v>#REF!</v>
      </c>
      <c r="F77" s="97" t="e">
        <f t="shared" si="17"/>
        <v>#REF!</v>
      </c>
      <c r="G77" s="97" t="e">
        <f t="shared" si="18"/>
        <v>#REF!</v>
      </c>
    </row>
    <row r="78" spans="1:8" ht="14.25" customHeight="1">
      <c r="A78" s="56"/>
      <c r="B78" s="56" t="s">
        <v>296</v>
      </c>
      <c r="C78" s="97" t="e">
        <f t="shared" si="19"/>
        <v>#REF!</v>
      </c>
      <c r="D78" s="97" t="e">
        <f t="shared" si="15"/>
        <v>#REF!</v>
      </c>
      <c r="E78" s="97" t="e">
        <f t="shared" si="16"/>
        <v>#REF!</v>
      </c>
      <c r="F78" s="97" t="e">
        <f t="shared" si="17"/>
        <v>#REF!</v>
      </c>
      <c r="G78" s="97" t="e">
        <f t="shared" si="18"/>
        <v>#REF!</v>
      </c>
    </row>
    <row r="79" spans="1:8" ht="14.25" customHeight="1">
      <c r="A79" s="56"/>
      <c r="B79" s="56" t="s">
        <v>297</v>
      </c>
      <c r="C79" s="97" t="e">
        <f t="shared" si="19"/>
        <v>#REF!</v>
      </c>
      <c r="D79" s="97" t="e">
        <f t="shared" si="15"/>
        <v>#REF!</v>
      </c>
      <c r="E79" s="97" t="e">
        <f t="shared" si="16"/>
        <v>#REF!</v>
      </c>
      <c r="F79" s="97" t="e">
        <f t="shared" si="17"/>
        <v>#REF!</v>
      </c>
      <c r="G79" s="97" t="e">
        <f t="shared" si="18"/>
        <v>#REF!</v>
      </c>
    </row>
    <row r="80" spans="1:8" ht="14.25" customHeight="1">
      <c r="A80" s="56"/>
      <c r="B80" s="56" t="s">
        <v>298</v>
      </c>
      <c r="C80" s="97" t="e">
        <f t="shared" si="19"/>
        <v>#REF!</v>
      </c>
      <c r="D80" s="97" t="e">
        <f t="shared" si="15"/>
        <v>#REF!</v>
      </c>
      <c r="E80" s="97" t="e">
        <f t="shared" si="16"/>
        <v>#REF!</v>
      </c>
      <c r="F80" s="97" t="e">
        <f t="shared" si="17"/>
        <v>#REF!</v>
      </c>
      <c r="G80" s="97" t="e">
        <f t="shared" si="18"/>
        <v>#REF!</v>
      </c>
    </row>
    <row r="81" spans="1:7" ht="14.25" customHeight="1">
      <c r="A81" s="56"/>
      <c r="B81" s="56" t="s">
        <v>299</v>
      </c>
      <c r="C81" s="97" t="e">
        <f t="shared" si="19"/>
        <v>#REF!</v>
      </c>
      <c r="D81" s="97" t="e">
        <f t="shared" si="15"/>
        <v>#REF!</v>
      </c>
      <c r="E81" s="97" t="e">
        <f t="shared" si="16"/>
        <v>#REF!</v>
      </c>
      <c r="F81" s="97" t="e">
        <f t="shared" si="17"/>
        <v>#REF!</v>
      </c>
      <c r="G81" s="97" t="e">
        <f t="shared" si="18"/>
        <v>#REF!</v>
      </c>
    </row>
    <row r="82" spans="1:7" ht="14.25" customHeight="1">
      <c r="A82" s="56"/>
      <c r="B82" s="56" t="s">
        <v>300</v>
      </c>
      <c r="C82" s="97" t="e">
        <f t="shared" si="19"/>
        <v>#REF!</v>
      </c>
      <c r="D82" s="97" t="e">
        <f t="shared" si="15"/>
        <v>#REF!</v>
      </c>
      <c r="E82" s="97" t="e">
        <f t="shared" si="16"/>
        <v>#REF!</v>
      </c>
      <c r="F82" s="97" t="e">
        <f t="shared" ref="F82:F159" si="20">$B$74</f>
        <v>#REF!</v>
      </c>
      <c r="G82" s="97" t="e">
        <f t="shared" si="18"/>
        <v>#REF!</v>
      </c>
    </row>
    <row r="83" spans="1:7" ht="14.25" customHeight="1">
      <c r="A83" s="56"/>
      <c r="B83" s="56" t="s">
        <v>301</v>
      </c>
      <c r="C83" s="97" t="e">
        <f t="shared" si="19"/>
        <v>#REF!</v>
      </c>
      <c r="D83" s="97" t="e">
        <f t="shared" si="15"/>
        <v>#REF!</v>
      </c>
      <c r="E83" s="97" t="e">
        <f t="shared" si="16"/>
        <v>#REF!</v>
      </c>
      <c r="F83" s="97" t="e">
        <f t="shared" si="20"/>
        <v>#REF!</v>
      </c>
      <c r="G83" s="97" t="e">
        <f t="shared" si="18"/>
        <v>#REF!</v>
      </c>
    </row>
    <row r="84" spans="1:7" ht="14.25" customHeight="1">
      <c r="A84" s="56"/>
      <c r="B84" s="56" t="s">
        <v>302</v>
      </c>
      <c r="C84" s="97" t="e">
        <f t="shared" si="19"/>
        <v>#REF!</v>
      </c>
      <c r="D84" s="97" t="e">
        <f t="shared" si="15"/>
        <v>#REF!</v>
      </c>
      <c r="E84" s="97" t="e">
        <f t="shared" si="16"/>
        <v>#REF!</v>
      </c>
      <c r="F84" s="97" t="e">
        <f t="shared" si="20"/>
        <v>#REF!</v>
      </c>
      <c r="G84" s="97" t="e">
        <f t="shared" si="18"/>
        <v>#REF!</v>
      </c>
    </row>
    <row r="85" spans="1:7" ht="14.25" customHeight="1">
      <c r="A85" s="56"/>
      <c r="B85" s="56" t="s">
        <v>303</v>
      </c>
      <c r="C85" s="97" t="e">
        <f t="shared" si="19"/>
        <v>#REF!</v>
      </c>
      <c r="D85" s="97" t="e">
        <f t="shared" si="15"/>
        <v>#REF!</v>
      </c>
      <c r="E85" s="97" t="e">
        <f t="shared" si="16"/>
        <v>#REF!</v>
      </c>
      <c r="F85" s="97" t="e">
        <f t="shared" si="20"/>
        <v>#REF!</v>
      </c>
      <c r="G85" s="97" t="e">
        <f t="shared" si="18"/>
        <v>#REF!</v>
      </c>
    </row>
    <row r="86" spans="1:7" ht="14.25" customHeight="1">
      <c r="A86" s="56"/>
      <c r="B86" s="56" t="s">
        <v>304</v>
      </c>
      <c r="C86" s="97" t="e">
        <f t="shared" si="19"/>
        <v>#REF!</v>
      </c>
      <c r="D86" s="97" t="e">
        <f t="shared" si="15"/>
        <v>#REF!</v>
      </c>
      <c r="E86" s="97" t="e">
        <f t="shared" si="16"/>
        <v>#REF!</v>
      </c>
      <c r="F86" s="97" t="e">
        <f t="shared" si="20"/>
        <v>#REF!</v>
      </c>
      <c r="G86" s="97" t="e">
        <f t="shared" si="18"/>
        <v>#REF!</v>
      </c>
    </row>
    <row r="87" spans="1:7" ht="14.25" customHeight="1">
      <c r="A87" s="56"/>
      <c r="B87" s="56" t="s">
        <v>305</v>
      </c>
      <c r="C87" s="97" t="e">
        <f t="shared" si="19"/>
        <v>#REF!</v>
      </c>
      <c r="D87" s="97" t="e">
        <f t="shared" si="15"/>
        <v>#REF!</v>
      </c>
      <c r="E87" s="97" t="e">
        <f t="shared" si="16"/>
        <v>#REF!</v>
      </c>
      <c r="F87" s="97" t="e">
        <f t="shared" si="20"/>
        <v>#REF!</v>
      </c>
      <c r="G87" s="97" t="e">
        <f t="shared" si="18"/>
        <v>#REF!</v>
      </c>
    </row>
    <row r="88" spans="1:7" ht="14.25" customHeight="1">
      <c r="A88" s="56" t="s">
        <v>306</v>
      </c>
      <c r="B88" s="56" t="s">
        <v>307</v>
      </c>
      <c r="C88" s="97" t="e">
        <f t="shared" si="19"/>
        <v>#REF!</v>
      </c>
      <c r="D88" s="97" t="e">
        <f t="shared" si="15"/>
        <v>#REF!</v>
      </c>
      <c r="E88" s="97" t="e">
        <f t="shared" si="16"/>
        <v>#REF!</v>
      </c>
      <c r="F88" s="97" t="e">
        <f t="shared" si="20"/>
        <v>#REF!</v>
      </c>
      <c r="G88" s="97" t="e">
        <f t="shared" si="18"/>
        <v>#REF!</v>
      </c>
    </row>
    <row r="89" spans="1:7" ht="14.25" customHeight="1">
      <c r="A89" s="56"/>
      <c r="B89" s="56" t="s">
        <v>308</v>
      </c>
      <c r="C89" s="97" t="e">
        <f t="shared" si="19"/>
        <v>#REF!</v>
      </c>
      <c r="D89" s="97" t="e">
        <f t="shared" si="15"/>
        <v>#REF!</v>
      </c>
      <c r="E89" s="97" t="e">
        <f t="shared" si="16"/>
        <v>#REF!</v>
      </c>
      <c r="F89" s="97" t="e">
        <f t="shared" si="20"/>
        <v>#REF!</v>
      </c>
      <c r="G89" s="97" t="e">
        <f t="shared" si="18"/>
        <v>#REF!</v>
      </c>
    </row>
    <row r="90" spans="1:7" ht="14.25" customHeight="1">
      <c r="A90" s="56"/>
      <c r="B90" s="56" t="s">
        <v>309</v>
      </c>
      <c r="C90" s="97" t="e">
        <f t="shared" si="19"/>
        <v>#REF!</v>
      </c>
      <c r="D90" s="97" t="e">
        <f t="shared" si="15"/>
        <v>#REF!</v>
      </c>
      <c r="E90" s="97" t="e">
        <f t="shared" si="16"/>
        <v>#REF!</v>
      </c>
      <c r="F90" s="97" t="e">
        <f t="shared" si="20"/>
        <v>#REF!</v>
      </c>
      <c r="G90" s="97" t="e">
        <f t="shared" si="18"/>
        <v>#REF!</v>
      </c>
    </row>
    <row r="91" spans="1:7" ht="14.25" customHeight="1">
      <c r="A91" s="56"/>
      <c r="B91" s="56" t="s">
        <v>310</v>
      </c>
      <c r="C91" s="97" t="e">
        <f t="shared" si="19"/>
        <v>#REF!</v>
      </c>
      <c r="D91" s="97" t="e">
        <f t="shared" si="15"/>
        <v>#REF!</v>
      </c>
      <c r="E91" s="97" t="e">
        <f t="shared" si="16"/>
        <v>#REF!</v>
      </c>
      <c r="F91" s="97" t="e">
        <f t="shared" si="20"/>
        <v>#REF!</v>
      </c>
      <c r="G91" s="97" t="e">
        <f t="shared" si="18"/>
        <v>#REF!</v>
      </c>
    </row>
    <row r="92" spans="1:7" ht="14.25" customHeight="1">
      <c r="A92" s="56"/>
      <c r="B92" s="56" t="s">
        <v>311</v>
      </c>
      <c r="C92" s="97" t="e">
        <f t="shared" si="19"/>
        <v>#REF!</v>
      </c>
      <c r="D92" s="97" t="e">
        <f t="shared" si="15"/>
        <v>#REF!</v>
      </c>
      <c r="E92" s="97" t="e">
        <f t="shared" si="16"/>
        <v>#REF!</v>
      </c>
      <c r="F92" s="97" t="e">
        <f t="shared" si="20"/>
        <v>#REF!</v>
      </c>
      <c r="G92" s="97" t="e">
        <f t="shared" si="18"/>
        <v>#REF!</v>
      </c>
    </row>
    <row r="93" spans="1:7" ht="14.25" customHeight="1">
      <c r="A93" s="56"/>
      <c r="B93" s="56" t="s">
        <v>312</v>
      </c>
      <c r="C93" s="97" t="e">
        <f t="shared" si="19"/>
        <v>#REF!</v>
      </c>
      <c r="D93" s="97" t="e">
        <f t="shared" si="15"/>
        <v>#REF!</v>
      </c>
      <c r="E93" s="97" t="e">
        <f t="shared" si="16"/>
        <v>#REF!</v>
      </c>
      <c r="F93" s="97" t="e">
        <f t="shared" si="20"/>
        <v>#REF!</v>
      </c>
      <c r="G93" s="97" t="e">
        <f t="shared" si="18"/>
        <v>#REF!</v>
      </c>
    </row>
    <row r="94" spans="1:7" ht="14.25" customHeight="1">
      <c r="A94" s="56"/>
      <c r="B94" s="56" t="s">
        <v>313</v>
      </c>
      <c r="C94" s="97" t="e">
        <f t="shared" si="19"/>
        <v>#REF!</v>
      </c>
      <c r="D94" s="97" t="e">
        <f t="shared" si="15"/>
        <v>#REF!</v>
      </c>
      <c r="E94" s="97" t="e">
        <f t="shared" si="16"/>
        <v>#REF!</v>
      </c>
      <c r="F94" s="97" t="e">
        <f t="shared" si="20"/>
        <v>#REF!</v>
      </c>
      <c r="G94" s="97" t="e">
        <f t="shared" si="18"/>
        <v>#REF!</v>
      </c>
    </row>
    <row r="95" spans="1:7" ht="14.25" customHeight="1">
      <c r="A95" s="56"/>
      <c r="B95" s="56" t="s">
        <v>314</v>
      </c>
      <c r="C95" s="97" t="e">
        <f t="shared" si="19"/>
        <v>#REF!</v>
      </c>
      <c r="D95" s="97" t="e">
        <f t="shared" si="15"/>
        <v>#REF!</v>
      </c>
      <c r="E95" s="97" t="e">
        <f t="shared" si="16"/>
        <v>#REF!</v>
      </c>
      <c r="F95" s="97" t="e">
        <f t="shared" si="20"/>
        <v>#REF!</v>
      </c>
      <c r="G95" s="97" t="e">
        <f t="shared" si="18"/>
        <v>#REF!</v>
      </c>
    </row>
    <row r="96" spans="1:7" ht="14.25" customHeight="1">
      <c r="A96" s="56"/>
      <c r="B96" s="56" t="s">
        <v>315</v>
      </c>
      <c r="C96" s="97" t="e">
        <f t="shared" si="19"/>
        <v>#REF!</v>
      </c>
      <c r="D96" s="97" t="e">
        <f t="shared" si="15"/>
        <v>#REF!</v>
      </c>
      <c r="E96" s="97" t="e">
        <f t="shared" si="16"/>
        <v>#REF!</v>
      </c>
      <c r="F96" s="97" t="e">
        <f t="shared" si="20"/>
        <v>#REF!</v>
      </c>
      <c r="G96" s="97" t="e">
        <f t="shared" si="18"/>
        <v>#REF!</v>
      </c>
    </row>
    <row r="97" spans="1:7" ht="14.25" customHeight="1">
      <c r="A97" s="56"/>
      <c r="B97" s="56" t="s">
        <v>316</v>
      </c>
      <c r="C97" s="97" t="e">
        <f t="shared" si="19"/>
        <v>#REF!</v>
      </c>
      <c r="D97" s="97" t="e">
        <f t="shared" si="15"/>
        <v>#REF!</v>
      </c>
      <c r="E97" s="97" t="e">
        <f t="shared" si="16"/>
        <v>#REF!</v>
      </c>
      <c r="F97" s="97" t="e">
        <f t="shared" si="20"/>
        <v>#REF!</v>
      </c>
      <c r="G97" s="97" t="e">
        <f t="shared" si="18"/>
        <v>#REF!</v>
      </c>
    </row>
    <row r="98" spans="1:7" ht="14.25" customHeight="1">
      <c r="A98" s="56"/>
      <c r="B98" s="56" t="s">
        <v>317</v>
      </c>
      <c r="C98" s="97" t="e">
        <f t="shared" si="19"/>
        <v>#REF!</v>
      </c>
      <c r="D98" s="97" t="e">
        <f t="shared" si="15"/>
        <v>#REF!</v>
      </c>
      <c r="E98" s="97" t="e">
        <f t="shared" si="16"/>
        <v>#REF!</v>
      </c>
      <c r="F98" s="97" t="e">
        <f t="shared" si="20"/>
        <v>#REF!</v>
      </c>
      <c r="G98" s="97" t="e">
        <f t="shared" si="18"/>
        <v>#REF!</v>
      </c>
    </row>
    <row r="99" spans="1:7" ht="14.25" customHeight="1">
      <c r="A99" s="56"/>
      <c r="B99" s="56" t="s">
        <v>318</v>
      </c>
      <c r="C99" s="97" t="e">
        <f t="shared" si="19"/>
        <v>#REF!</v>
      </c>
      <c r="D99" s="97" t="e">
        <f t="shared" si="15"/>
        <v>#REF!</v>
      </c>
      <c r="E99" s="97" t="e">
        <f t="shared" si="16"/>
        <v>#REF!</v>
      </c>
      <c r="F99" s="97" t="e">
        <f t="shared" si="20"/>
        <v>#REF!</v>
      </c>
      <c r="G99" s="97" t="e">
        <f t="shared" si="18"/>
        <v>#REF!</v>
      </c>
    </row>
    <row r="100" spans="1:7" ht="14.25" customHeight="1">
      <c r="A100" s="56" t="s">
        <v>319</v>
      </c>
      <c r="B100" s="56" t="s">
        <v>320</v>
      </c>
      <c r="C100" s="97" t="e">
        <f t="shared" si="19"/>
        <v>#REF!</v>
      </c>
      <c r="D100" s="97" t="e">
        <f t="shared" si="15"/>
        <v>#REF!</v>
      </c>
      <c r="E100" s="97" t="e">
        <f t="shared" si="16"/>
        <v>#REF!</v>
      </c>
      <c r="F100" s="97" t="e">
        <f t="shared" si="20"/>
        <v>#REF!</v>
      </c>
      <c r="G100" s="97" t="e">
        <f t="shared" si="18"/>
        <v>#REF!</v>
      </c>
    </row>
    <row r="101" spans="1:7" ht="14.25" customHeight="1">
      <c r="A101" s="56"/>
      <c r="B101" s="56" t="s">
        <v>321</v>
      </c>
      <c r="C101" s="97" t="e">
        <f t="shared" si="19"/>
        <v>#REF!</v>
      </c>
      <c r="D101" s="97" t="e">
        <f t="shared" si="15"/>
        <v>#REF!</v>
      </c>
      <c r="E101" s="97" t="e">
        <f t="shared" si="16"/>
        <v>#REF!</v>
      </c>
      <c r="F101" s="97" t="e">
        <f t="shared" si="20"/>
        <v>#REF!</v>
      </c>
      <c r="G101" s="97" t="e">
        <f t="shared" si="18"/>
        <v>#REF!</v>
      </c>
    </row>
    <row r="102" spans="1:7" ht="14.25" customHeight="1">
      <c r="A102" s="56"/>
      <c r="B102" s="56" t="s">
        <v>322</v>
      </c>
      <c r="C102" s="97" t="e">
        <f t="shared" si="19"/>
        <v>#REF!</v>
      </c>
      <c r="D102" s="97" t="e">
        <f t="shared" si="15"/>
        <v>#REF!</v>
      </c>
      <c r="E102" s="97" t="e">
        <f t="shared" si="16"/>
        <v>#REF!</v>
      </c>
      <c r="F102" s="97" t="e">
        <f t="shared" si="20"/>
        <v>#REF!</v>
      </c>
      <c r="G102" s="97" t="e">
        <f t="shared" si="18"/>
        <v>#REF!</v>
      </c>
    </row>
    <row r="103" spans="1:7" ht="14.25" customHeight="1">
      <c r="A103" s="56"/>
      <c r="B103" s="56" t="s">
        <v>323</v>
      </c>
      <c r="C103" s="97" t="e">
        <f t="shared" si="19"/>
        <v>#REF!</v>
      </c>
      <c r="D103" s="97" t="e">
        <f t="shared" si="15"/>
        <v>#REF!</v>
      </c>
      <c r="E103" s="97" t="e">
        <f t="shared" si="16"/>
        <v>#REF!</v>
      </c>
      <c r="F103" s="97" t="e">
        <f t="shared" si="20"/>
        <v>#REF!</v>
      </c>
      <c r="G103" s="97" t="e">
        <f t="shared" si="18"/>
        <v>#REF!</v>
      </c>
    </row>
    <row r="104" spans="1:7" ht="14.25" customHeight="1">
      <c r="A104" s="56"/>
      <c r="B104" s="56" t="s">
        <v>324</v>
      </c>
      <c r="C104" s="97" t="e">
        <f t="shared" si="19"/>
        <v>#REF!</v>
      </c>
      <c r="D104" s="97" t="e">
        <f t="shared" si="15"/>
        <v>#REF!</v>
      </c>
      <c r="E104" s="97" t="e">
        <f t="shared" si="16"/>
        <v>#REF!</v>
      </c>
      <c r="F104" s="97" t="e">
        <f t="shared" si="20"/>
        <v>#REF!</v>
      </c>
      <c r="G104" s="97" t="e">
        <f t="shared" si="18"/>
        <v>#REF!</v>
      </c>
    </row>
    <row r="105" spans="1:7" ht="14.25" customHeight="1">
      <c r="A105" s="56"/>
      <c r="B105" s="56" t="s">
        <v>325</v>
      </c>
      <c r="C105" s="97" t="e">
        <f t="shared" si="19"/>
        <v>#REF!</v>
      </c>
      <c r="D105" s="97" t="e">
        <f t="shared" si="15"/>
        <v>#REF!</v>
      </c>
      <c r="E105" s="97" t="e">
        <f t="shared" si="16"/>
        <v>#REF!</v>
      </c>
      <c r="F105" s="97" t="e">
        <f t="shared" si="20"/>
        <v>#REF!</v>
      </c>
      <c r="G105" s="97" t="e">
        <f t="shared" si="18"/>
        <v>#REF!</v>
      </c>
    </row>
    <row r="106" spans="1:7" ht="14.25" customHeight="1">
      <c r="A106" s="56"/>
      <c r="B106" s="56" t="s">
        <v>326</v>
      </c>
      <c r="C106" s="97" t="e">
        <f t="shared" si="19"/>
        <v>#REF!</v>
      </c>
      <c r="D106" s="97" t="e">
        <f t="shared" si="15"/>
        <v>#REF!</v>
      </c>
      <c r="E106" s="97" t="e">
        <f t="shared" si="16"/>
        <v>#REF!</v>
      </c>
      <c r="F106" s="97" t="e">
        <f t="shared" si="20"/>
        <v>#REF!</v>
      </c>
      <c r="G106" s="97" t="e">
        <f t="shared" si="18"/>
        <v>#REF!</v>
      </c>
    </row>
    <row r="107" spans="1:7" ht="14.25" customHeight="1">
      <c r="A107" s="56"/>
      <c r="B107" s="56" t="s">
        <v>327</v>
      </c>
      <c r="C107" s="97" t="e">
        <f t="shared" si="19"/>
        <v>#REF!</v>
      </c>
      <c r="D107" s="97" t="e">
        <f t="shared" si="15"/>
        <v>#REF!</v>
      </c>
      <c r="E107" s="97" t="e">
        <f t="shared" si="16"/>
        <v>#REF!</v>
      </c>
      <c r="F107" s="97" t="e">
        <f t="shared" si="20"/>
        <v>#REF!</v>
      </c>
      <c r="G107" s="97" t="e">
        <f t="shared" si="18"/>
        <v>#REF!</v>
      </c>
    </row>
    <row r="108" spans="1:7" ht="14.25" customHeight="1">
      <c r="A108" s="56"/>
      <c r="B108" s="56" t="s">
        <v>328</v>
      </c>
      <c r="C108" s="97" t="e">
        <f t="shared" si="19"/>
        <v>#REF!</v>
      </c>
      <c r="D108" s="97" t="e">
        <f t="shared" si="15"/>
        <v>#REF!</v>
      </c>
      <c r="E108" s="97" t="e">
        <f t="shared" si="16"/>
        <v>#REF!</v>
      </c>
      <c r="F108" s="97" t="e">
        <f t="shared" si="20"/>
        <v>#REF!</v>
      </c>
      <c r="G108" s="97" t="e">
        <f t="shared" si="18"/>
        <v>#REF!</v>
      </c>
    </row>
    <row r="109" spans="1:7" ht="14.25" customHeight="1">
      <c r="A109" s="56"/>
      <c r="B109" s="56" t="s">
        <v>329</v>
      </c>
      <c r="C109" s="97" t="e">
        <f t="shared" si="19"/>
        <v>#REF!</v>
      </c>
      <c r="D109" s="97" t="e">
        <f t="shared" si="15"/>
        <v>#REF!</v>
      </c>
      <c r="E109" s="97" t="e">
        <f t="shared" si="16"/>
        <v>#REF!</v>
      </c>
      <c r="F109" s="97" t="e">
        <f t="shared" si="20"/>
        <v>#REF!</v>
      </c>
      <c r="G109" s="97" t="e">
        <f t="shared" si="18"/>
        <v>#REF!</v>
      </c>
    </row>
    <row r="110" spans="1:7" ht="14.25" customHeight="1">
      <c r="A110" s="56"/>
      <c r="B110" s="56" t="s">
        <v>330</v>
      </c>
      <c r="C110" s="97" t="e">
        <f t="shared" si="19"/>
        <v>#REF!</v>
      </c>
      <c r="D110" s="97" t="e">
        <f t="shared" si="15"/>
        <v>#REF!</v>
      </c>
      <c r="E110" s="97" t="e">
        <f t="shared" si="16"/>
        <v>#REF!</v>
      </c>
      <c r="F110" s="97" t="e">
        <f t="shared" si="20"/>
        <v>#REF!</v>
      </c>
      <c r="G110" s="97" t="e">
        <f t="shared" si="18"/>
        <v>#REF!</v>
      </c>
    </row>
    <row r="111" spans="1:7" ht="14.25" customHeight="1">
      <c r="A111" s="56"/>
      <c r="B111" s="56" t="s">
        <v>331</v>
      </c>
      <c r="C111" s="97" t="e">
        <f t="shared" si="19"/>
        <v>#REF!</v>
      </c>
      <c r="D111" s="97" t="e">
        <f t="shared" si="15"/>
        <v>#REF!</v>
      </c>
      <c r="E111" s="97" t="e">
        <f t="shared" si="16"/>
        <v>#REF!</v>
      </c>
      <c r="F111" s="97" t="e">
        <f t="shared" si="20"/>
        <v>#REF!</v>
      </c>
      <c r="G111" s="97" t="e">
        <f t="shared" si="18"/>
        <v>#REF!</v>
      </c>
    </row>
    <row r="112" spans="1:7" ht="14.25" customHeight="1">
      <c r="A112" s="56" t="s">
        <v>332</v>
      </c>
      <c r="B112" s="56" t="s">
        <v>333</v>
      </c>
      <c r="C112" s="97" t="e">
        <f t="shared" si="19"/>
        <v>#REF!</v>
      </c>
      <c r="D112" s="97" t="e">
        <f t="shared" si="15"/>
        <v>#REF!</v>
      </c>
      <c r="E112" s="97" t="e">
        <f t="shared" si="16"/>
        <v>#REF!</v>
      </c>
      <c r="F112" s="97" t="e">
        <f t="shared" si="20"/>
        <v>#REF!</v>
      </c>
      <c r="G112" s="97" t="e">
        <f t="shared" si="18"/>
        <v>#REF!</v>
      </c>
    </row>
    <row r="113" spans="1:7" ht="14.25" customHeight="1">
      <c r="A113" s="56"/>
      <c r="B113" s="56" t="s">
        <v>334</v>
      </c>
      <c r="C113" s="97" t="e">
        <f t="shared" si="19"/>
        <v>#REF!</v>
      </c>
      <c r="D113" s="97" t="e">
        <f t="shared" si="15"/>
        <v>#REF!</v>
      </c>
      <c r="E113" s="97" t="e">
        <f t="shared" si="16"/>
        <v>#REF!</v>
      </c>
      <c r="F113" s="97" t="e">
        <f t="shared" si="20"/>
        <v>#REF!</v>
      </c>
      <c r="G113" s="97" t="e">
        <f t="shared" si="18"/>
        <v>#REF!</v>
      </c>
    </row>
    <row r="114" spans="1:7" ht="14.25" customHeight="1">
      <c r="A114" s="56"/>
      <c r="B114" s="56" t="s">
        <v>335</v>
      </c>
      <c r="C114" s="97" t="e">
        <f t="shared" si="19"/>
        <v>#REF!</v>
      </c>
      <c r="D114" s="97" t="e">
        <f t="shared" si="15"/>
        <v>#REF!</v>
      </c>
      <c r="E114" s="97" t="e">
        <f t="shared" si="16"/>
        <v>#REF!</v>
      </c>
      <c r="F114" s="97" t="e">
        <f t="shared" si="20"/>
        <v>#REF!</v>
      </c>
      <c r="G114" s="97" t="e">
        <f t="shared" si="18"/>
        <v>#REF!</v>
      </c>
    </row>
    <row r="115" spans="1:7" ht="14.25" customHeight="1">
      <c r="A115" s="56"/>
      <c r="B115" s="56" t="s">
        <v>336</v>
      </c>
      <c r="C115" s="97" t="e">
        <f t="shared" si="19"/>
        <v>#REF!</v>
      </c>
      <c r="D115" s="97" t="e">
        <f t="shared" si="15"/>
        <v>#REF!</v>
      </c>
      <c r="E115" s="97" t="e">
        <f t="shared" si="16"/>
        <v>#REF!</v>
      </c>
      <c r="F115" s="97" t="e">
        <f t="shared" si="20"/>
        <v>#REF!</v>
      </c>
      <c r="G115" s="97" t="e">
        <f t="shared" si="18"/>
        <v>#REF!</v>
      </c>
    </row>
    <row r="116" spans="1:7" ht="14.25" customHeight="1">
      <c r="A116" s="56"/>
      <c r="B116" s="56" t="s">
        <v>337</v>
      </c>
      <c r="C116" s="97" t="e">
        <f t="shared" si="19"/>
        <v>#REF!</v>
      </c>
      <c r="D116" s="97" t="e">
        <f t="shared" si="15"/>
        <v>#REF!</v>
      </c>
      <c r="E116" s="97" t="e">
        <f t="shared" si="16"/>
        <v>#REF!</v>
      </c>
      <c r="F116" s="97" t="e">
        <f t="shared" si="20"/>
        <v>#REF!</v>
      </c>
      <c r="G116" s="97" t="e">
        <f t="shared" si="18"/>
        <v>#REF!</v>
      </c>
    </row>
    <row r="117" spans="1:7" ht="14.25" customHeight="1">
      <c r="A117" s="56"/>
      <c r="B117" s="56" t="s">
        <v>338</v>
      </c>
      <c r="C117" s="97" t="e">
        <f t="shared" si="19"/>
        <v>#REF!</v>
      </c>
      <c r="D117" s="97" t="e">
        <f t="shared" si="15"/>
        <v>#REF!</v>
      </c>
      <c r="E117" s="97" t="e">
        <f t="shared" si="16"/>
        <v>#REF!</v>
      </c>
      <c r="F117" s="97" t="e">
        <f t="shared" si="20"/>
        <v>#REF!</v>
      </c>
      <c r="G117" s="97" t="e">
        <f t="shared" si="18"/>
        <v>#REF!</v>
      </c>
    </row>
    <row r="118" spans="1:7" ht="14.25" customHeight="1">
      <c r="A118" s="56"/>
      <c r="B118" s="56" t="s">
        <v>339</v>
      </c>
      <c r="C118" s="97" t="e">
        <f t="shared" si="19"/>
        <v>#REF!</v>
      </c>
      <c r="D118" s="97" t="e">
        <f t="shared" si="15"/>
        <v>#REF!</v>
      </c>
      <c r="E118" s="97" t="e">
        <f t="shared" si="16"/>
        <v>#REF!</v>
      </c>
      <c r="F118" s="97" t="e">
        <f t="shared" si="20"/>
        <v>#REF!</v>
      </c>
      <c r="G118" s="97" t="e">
        <f t="shared" si="18"/>
        <v>#REF!</v>
      </c>
    </row>
    <row r="119" spans="1:7" ht="14.25" customHeight="1">
      <c r="A119" s="56"/>
      <c r="B119" s="56" t="s">
        <v>340</v>
      </c>
      <c r="C119" s="97" t="e">
        <f t="shared" si="19"/>
        <v>#REF!</v>
      </c>
      <c r="D119" s="97" t="e">
        <f t="shared" si="15"/>
        <v>#REF!</v>
      </c>
      <c r="E119" s="97" t="e">
        <f t="shared" si="16"/>
        <v>#REF!</v>
      </c>
      <c r="F119" s="97" t="e">
        <f t="shared" si="20"/>
        <v>#REF!</v>
      </c>
      <c r="G119" s="97" t="e">
        <f t="shared" si="18"/>
        <v>#REF!</v>
      </c>
    </row>
    <row r="120" spans="1:7" ht="14.25" customHeight="1">
      <c r="A120" s="56"/>
      <c r="B120" s="56" t="s">
        <v>341</v>
      </c>
      <c r="C120" s="97" t="e">
        <f t="shared" si="19"/>
        <v>#REF!</v>
      </c>
      <c r="D120" s="97" t="e">
        <f t="shared" si="15"/>
        <v>#REF!</v>
      </c>
      <c r="E120" s="97" t="e">
        <f t="shared" si="16"/>
        <v>#REF!</v>
      </c>
      <c r="F120" s="97" t="e">
        <f t="shared" si="20"/>
        <v>#REF!</v>
      </c>
      <c r="G120" s="97" t="e">
        <f t="shared" si="18"/>
        <v>#REF!</v>
      </c>
    </row>
    <row r="121" spans="1:7" ht="14.25" customHeight="1">
      <c r="A121" s="56"/>
      <c r="B121" s="56" t="s">
        <v>342</v>
      </c>
      <c r="C121" s="97" t="e">
        <f t="shared" si="19"/>
        <v>#REF!</v>
      </c>
      <c r="D121" s="97" t="e">
        <f t="shared" si="15"/>
        <v>#REF!</v>
      </c>
      <c r="E121" s="97" t="e">
        <f t="shared" si="16"/>
        <v>#REF!</v>
      </c>
      <c r="F121" s="97" t="e">
        <f t="shared" si="20"/>
        <v>#REF!</v>
      </c>
      <c r="G121" s="97" t="e">
        <f t="shared" si="18"/>
        <v>#REF!</v>
      </c>
    </row>
    <row r="122" spans="1:7" ht="14.25" customHeight="1">
      <c r="A122" s="56"/>
      <c r="B122" s="56" t="s">
        <v>343</v>
      </c>
      <c r="C122" s="97" t="e">
        <f t="shared" si="19"/>
        <v>#REF!</v>
      </c>
      <c r="D122" s="97" t="e">
        <f t="shared" si="15"/>
        <v>#REF!</v>
      </c>
      <c r="E122" s="97" t="e">
        <f t="shared" si="16"/>
        <v>#REF!</v>
      </c>
      <c r="F122" s="97" t="e">
        <f t="shared" si="20"/>
        <v>#REF!</v>
      </c>
      <c r="G122" s="97" t="e">
        <f t="shared" si="18"/>
        <v>#REF!</v>
      </c>
    </row>
    <row r="123" spans="1:7" ht="14.25" customHeight="1">
      <c r="A123" s="56"/>
      <c r="B123" s="56" t="s">
        <v>344</v>
      </c>
      <c r="C123" s="97" t="e">
        <f t="shared" si="19"/>
        <v>#REF!</v>
      </c>
      <c r="D123" s="97" t="e">
        <f t="shared" si="15"/>
        <v>#REF!</v>
      </c>
      <c r="E123" s="97" t="e">
        <f t="shared" si="16"/>
        <v>#REF!</v>
      </c>
      <c r="F123" s="97" t="e">
        <f t="shared" si="20"/>
        <v>#REF!</v>
      </c>
      <c r="G123" s="97" t="e">
        <f t="shared" si="18"/>
        <v>#REF!</v>
      </c>
    </row>
    <row r="124" spans="1:7" ht="14.25" customHeight="1">
      <c r="A124" s="56" t="s">
        <v>345</v>
      </c>
      <c r="B124" s="56" t="s">
        <v>346</v>
      </c>
      <c r="C124" s="97" t="e">
        <f t="shared" si="19"/>
        <v>#REF!</v>
      </c>
      <c r="D124" s="97" t="e">
        <f t="shared" si="15"/>
        <v>#REF!</v>
      </c>
      <c r="E124" s="97" t="e">
        <f t="shared" si="16"/>
        <v>#REF!</v>
      </c>
      <c r="F124" s="97" t="e">
        <f t="shared" si="20"/>
        <v>#REF!</v>
      </c>
      <c r="G124" s="97" t="e">
        <f t="shared" si="18"/>
        <v>#REF!</v>
      </c>
    </row>
    <row r="125" spans="1:7" ht="14.25" customHeight="1">
      <c r="A125" s="56"/>
      <c r="B125" s="56" t="s">
        <v>347</v>
      </c>
      <c r="C125" s="97" t="e">
        <f t="shared" si="19"/>
        <v>#REF!</v>
      </c>
      <c r="D125" s="97" t="e">
        <f t="shared" si="15"/>
        <v>#REF!</v>
      </c>
      <c r="E125" s="97" t="e">
        <f t="shared" si="16"/>
        <v>#REF!</v>
      </c>
      <c r="F125" s="97" t="e">
        <f t="shared" si="20"/>
        <v>#REF!</v>
      </c>
      <c r="G125" s="97" t="e">
        <f t="shared" si="18"/>
        <v>#REF!</v>
      </c>
    </row>
    <row r="126" spans="1:7" ht="14.25" customHeight="1">
      <c r="A126" s="56"/>
      <c r="B126" s="56" t="s">
        <v>348</v>
      </c>
      <c r="C126" s="97" t="e">
        <f t="shared" si="19"/>
        <v>#REF!</v>
      </c>
      <c r="D126" s="97" t="e">
        <f t="shared" si="15"/>
        <v>#REF!</v>
      </c>
      <c r="E126" s="97" t="e">
        <f t="shared" si="16"/>
        <v>#REF!</v>
      </c>
      <c r="F126" s="97" t="e">
        <f t="shared" si="20"/>
        <v>#REF!</v>
      </c>
      <c r="G126" s="97" t="e">
        <f t="shared" si="18"/>
        <v>#REF!</v>
      </c>
    </row>
    <row r="127" spans="1:7" ht="14.25" customHeight="1">
      <c r="A127" s="56"/>
      <c r="B127" s="56" t="s">
        <v>349</v>
      </c>
      <c r="C127" s="97" t="e">
        <f t="shared" si="19"/>
        <v>#REF!</v>
      </c>
      <c r="D127" s="97" t="e">
        <f t="shared" si="15"/>
        <v>#REF!</v>
      </c>
      <c r="E127" s="97" t="e">
        <f t="shared" si="16"/>
        <v>#REF!</v>
      </c>
      <c r="F127" s="97" t="e">
        <f t="shared" si="20"/>
        <v>#REF!</v>
      </c>
      <c r="G127" s="97" t="e">
        <f t="shared" si="18"/>
        <v>#REF!</v>
      </c>
    </row>
    <row r="128" spans="1:7" ht="14.25" customHeight="1">
      <c r="A128" s="56"/>
      <c r="B128" s="56" t="s">
        <v>350</v>
      </c>
      <c r="C128" s="97" t="e">
        <f t="shared" si="19"/>
        <v>#REF!</v>
      </c>
      <c r="D128" s="97" t="e">
        <f t="shared" si="15"/>
        <v>#REF!</v>
      </c>
      <c r="E128" s="97" t="e">
        <f t="shared" si="16"/>
        <v>#REF!</v>
      </c>
      <c r="F128" s="97" t="e">
        <f t="shared" si="20"/>
        <v>#REF!</v>
      </c>
      <c r="G128" s="97" t="e">
        <f t="shared" si="18"/>
        <v>#REF!</v>
      </c>
    </row>
    <row r="129" spans="1:7" ht="14.25" customHeight="1">
      <c r="A129" s="56"/>
      <c r="B129" s="56" t="s">
        <v>351</v>
      </c>
      <c r="C129" s="97" t="e">
        <f t="shared" si="19"/>
        <v>#REF!</v>
      </c>
      <c r="D129" s="97" t="e">
        <f t="shared" si="15"/>
        <v>#REF!</v>
      </c>
      <c r="E129" s="97" t="e">
        <f t="shared" si="16"/>
        <v>#REF!</v>
      </c>
      <c r="F129" s="97" t="e">
        <f t="shared" si="20"/>
        <v>#REF!</v>
      </c>
      <c r="G129" s="97" t="e">
        <f t="shared" si="18"/>
        <v>#REF!</v>
      </c>
    </row>
    <row r="130" spans="1:7" ht="14.25" customHeight="1">
      <c r="A130" s="56"/>
      <c r="B130" s="56" t="s">
        <v>352</v>
      </c>
      <c r="C130" s="97" t="e">
        <f t="shared" si="19"/>
        <v>#REF!</v>
      </c>
      <c r="D130" s="97" t="e">
        <f t="shared" si="15"/>
        <v>#REF!</v>
      </c>
      <c r="E130" s="97" t="e">
        <f t="shared" si="16"/>
        <v>#REF!</v>
      </c>
      <c r="F130" s="97" t="e">
        <f t="shared" si="20"/>
        <v>#REF!</v>
      </c>
      <c r="G130" s="97" t="e">
        <f t="shared" si="18"/>
        <v>#REF!</v>
      </c>
    </row>
    <row r="131" spans="1:7" ht="14.25" customHeight="1">
      <c r="A131" s="56"/>
      <c r="B131" s="56" t="s">
        <v>353</v>
      </c>
      <c r="C131" s="97" t="e">
        <f t="shared" si="19"/>
        <v>#REF!</v>
      </c>
      <c r="D131" s="97" t="e">
        <f t="shared" si="15"/>
        <v>#REF!</v>
      </c>
      <c r="E131" s="97" t="e">
        <f t="shared" si="16"/>
        <v>#REF!</v>
      </c>
      <c r="F131" s="97" t="e">
        <f t="shared" si="20"/>
        <v>#REF!</v>
      </c>
      <c r="G131" s="97" t="e">
        <f t="shared" si="18"/>
        <v>#REF!</v>
      </c>
    </row>
    <row r="132" spans="1:7" ht="14.25" customHeight="1">
      <c r="A132" s="56"/>
      <c r="B132" s="56" t="s">
        <v>354</v>
      </c>
      <c r="C132" s="97" t="e">
        <f t="shared" si="19"/>
        <v>#REF!</v>
      </c>
      <c r="D132" s="97" t="e">
        <f t="shared" si="15"/>
        <v>#REF!</v>
      </c>
      <c r="E132" s="97" t="e">
        <f t="shared" si="16"/>
        <v>#REF!</v>
      </c>
      <c r="F132" s="97" t="e">
        <f t="shared" si="20"/>
        <v>#REF!</v>
      </c>
      <c r="G132" s="97" t="e">
        <f t="shared" si="18"/>
        <v>#REF!</v>
      </c>
    </row>
    <row r="133" spans="1:7" ht="14.25" customHeight="1">
      <c r="A133" s="56"/>
      <c r="B133" s="56" t="s">
        <v>355</v>
      </c>
      <c r="C133" s="97" t="e">
        <f t="shared" si="19"/>
        <v>#REF!</v>
      </c>
      <c r="D133" s="97" t="e">
        <f t="shared" si="15"/>
        <v>#REF!</v>
      </c>
      <c r="E133" s="97" t="e">
        <f t="shared" si="16"/>
        <v>#REF!</v>
      </c>
      <c r="F133" s="97" t="e">
        <f t="shared" si="20"/>
        <v>#REF!</v>
      </c>
      <c r="G133" s="97" t="e">
        <f t="shared" si="18"/>
        <v>#REF!</v>
      </c>
    </row>
    <row r="134" spans="1:7" ht="14.25" customHeight="1">
      <c r="A134" s="56"/>
      <c r="B134" s="56" t="s">
        <v>356</v>
      </c>
      <c r="C134" s="97" t="e">
        <f t="shared" si="19"/>
        <v>#REF!</v>
      </c>
      <c r="D134" s="97" t="e">
        <f t="shared" si="15"/>
        <v>#REF!</v>
      </c>
      <c r="E134" s="97" t="e">
        <f t="shared" si="16"/>
        <v>#REF!</v>
      </c>
      <c r="F134" s="97" t="e">
        <f t="shared" si="20"/>
        <v>#REF!</v>
      </c>
      <c r="G134" s="97" t="e">
        <f t="shared" si="18"/>
        <v>#REF!</v>
      </c>
    </row>
    <row r="135" spans="1:7" ht="14.25" customHeight="1">
      <c r="A135" s="56"/>
      <c r="B135" s="56" t="s">
        <v>357</v>
      </c>
      <c r="C135" s="97" t="e">
        <f t="shared" si="19"/>
        <v>#REF!</v>
      </c>
      <c r="D135" s="97" t="e">
        <f t="shared" si="15"/>
        <v>#REF!</v>
      </c>
      <c r="E135" s="97" t="e">
        <f t="shared" si="16"/>
        <v>#REF!</v>
      </c>
      <c r="F135" s="97" t="e">
        <f t="shared" si="20"/>
        <v>#REF!</v>
      </c>
      <c r="G135" s="97" t="e">
        <f t="shared" si="18"/>
        <v>#REF!</v>
      </c>
    </row>
    <row r="136" spans="1:7" ht="14.25" customHeight="1">
      <c r="A136" s="56" t="s">
        <v>358</v>
      </c>
      <c r="B136" s="56" t="s">
        <v>770</v>
      </c>
      <c r="C136" s="97" t="e">
        <f t="shared" si="19"/>
        <v>#REF!</v>
      </c>
      <c r="D136" s="97" t="e">
        <f t="shared" si="15"/>
        <v>#REF!</v>
      </c>
      <c r="E136" s="97" t="e">
        <f t="shared" si="16"/>
        <v>#REF!</v>
      </c>
      <c r="F136" s="97" t="e">
        <f t="shared" si="20"/>
        <v>#REF!</v>
      </c>
      <c r="G136" s="97" t="e">
        <f t="shared" si="18"/>
        <v>#REF!</v>
      </c>
    </row>
    <row r="137" spans="1:7" ht="14.25" customHeight="1">
      <c r="A137" s="56"/>
      <c r="B137" s="56" t="s">
        <v>771</v>
      </c>
      <c r="C137" s="97" t="e">
        <f t="shared" si="19"/>
        <v>#REF!</v>
      </c>
      <c r="D137" s="97" t="e">
        <f t="shared" si="15"/>
        <v>#REF!</v>
      </c>
      <c r="E137" s="97" t="e">
        <f t="shared" si="16"/>
        <v>#REF!</v>
      </c>
      <c r="F137" s="97" t="e">
        <f t="shared" si="20"/>
        <v>#REF!</v>
      </c>
      <c r="G137" s="97" t="e">
        <f t="shared" si="18"/>
        <v>#REF!</v>
      </c>
    </row>
    <row r="138" spans="1:7" ht="14.25" customHeight="1">
      <c r="A138" s="56"/>
      <c r="B138" s="56" t="s">
        <v>772</v>
      </c>
      <c r="C138" s="97" t="e">
        <f t="shared" si="19"/>
        <v>#REF!</v>
      </c>
      <c r="D138" s="97" t="e">
        <f t="shared" si="15"/>
        <v>#REF!</v>
      </c>
      <c r="E138" s="97" t="e">
        <f t="shared" si="16"/>
        <v>#REF!</v>
      </c>
      <c r="F138" s="97" t="e">
        <f t="shared" si="20"/>
        <v>#REF!</v>
      </c>
      <c r="G138" s="97" t="e">
        <f t="shared" si="18"/>
        <v>#REF!</v>
      </c>
    </row>
    <row r="139" spans="1:7" ht="14.25" customHeight="1">
      <c r="A139" s="56"/>
      <c r="B139" s="56" t="s">
        <v>773</v>
      </c>
      <c r="C139" s="97" t="e">
        <f t="shared" si="19"/>
        <v>#REF!</v>
      </c>
      <c r="D139" s="97" t="e">
        <f t="shared" si="15"/>
        <v>#REF!</v>
      </c>
      <c r="E139" s="97" t="e">
        <f t="shared" si="16"/>
        <v>#REF!</v>
      </c>
      <c r="F139" s="97" t="e">
        <f t="shared" si="20"/>
        <v>#REF!</v>
      </c>
      <c r="G139" s="97" t="e">
        <f t="shared" si="18"/>
        <v>#REF!</v>
      </c>
    </row>
    <row r="140" spans="1:7" ht="14.25" customHeight="1">
      <c r="A140" s="56"/>
      <c r="B140" s="56" t="s">
        <v>774</v>
      </c>
      <c r="C140" s="97" t="e">
        <f t="shared" si="19"/>
        <v>#REF!</v>
      </c>
      <c r="D140" s="97" t="e">
        <f t="shared" si="15"/>
        <v>#REF!</v>
      </c>
      <c r="E140" s="97" t="e">
        <f t="shared" si="16"/>
        <v>#REF!</v>
      </c>
      <c r="F140" s="97" t="e">
        <f t="shared" si="20"/>
        <v>#REF!</v>
      </c>
      <c r="G140" s="97" t="e">
        <f t="shared" si="18"/>
        <v>#REF!</v>
      </c>
    </row>
    <row r="141" spans="1:7" ht="14.25" customHeight="1">
      <c r="A141" s="56"/>
      <c r="B141" s="56" t="s">
        <v>775</v>
      </c>
      <c r="C141" s="97" t="e">
        <f t="shared" si="19"/>
        <v>#REF!</v>
      </c>
      <c r="D141" s="97" t="e">
        <f t="shared" si="15"/>
        <v>#REF!</v>
      </c>
      <c r="E141" s="97" t="e">
        <f t="shared" si="16"/>
        <v>#REF!</v>
      </c>
      <c r="F141" s="97" t="e">
        <f t="shared" si="20"/>
        <v>#REF!</v>
      </c>
      <c r="G141" s="97" t="e">
        <f t="shared" si="18"/>
        <v>#REF!</v>
      </c>
    </row>
    <row r="142" spans="1:7" ht="14.25" customHeight="1">
      <c r="A142" s="56"/>
      <c r="B142" s="56" t="s">
        <v>776</v>
      </c>
      <c r="C142" s="97" t="e">
        <f t="shared" si="19"/>
        <v>#REF!</v>
      </c>
      <c r="D142" s="97" t="e">
        <f t="shared" si="15"/>
        <v>#REF!</v>
      </c>
      <c r="E142" s="97" t="e">
        <f t="shared" si="16"/>
        <v>#REF!</v>
      </c>
      <c r="F142" s="97" t="e">
        <f t="shared" si="20"/>
        <v>#REF!</v>
      </c>
      <c r="G142" s="97" t="e">
        <f t="shared" si="18"/>
        <v>#REF!</v>
      </c>
    </row>
    <row r="143" spans="1:7" ht="14.25" customHeight="1">
      <c r="A143" s="56"/>
      <c r="B143" s="56" t="s">
        <v>777</v>
      </c>
      <c r="C143" s="97" t="e">
        <f t="shared" si="19"/>
        <v>#REF!</v>
      </c>
      <c r="D143" s="97" t="e">
        <f t="shared" si="15"/>
        <v>#REF!</v>
      </c>
      <c r="E143" s="97" t="e">
        <f t="shared" si="16"/>
        <v>#REF!</v>
      </c>
      <c r="F143" s="97" t="e">
        <f t="shared" si="20"/>
        <v>#REF!</v>
      </c>
      <c r="G143" s="97" t="e">
        <f t="shared" si="18"/>
        <v>#REF!</v>
      </c>
    </row>
    <row r="144" spans="1:7" ht="14.25" customHeight="1">
      <c r="A144" s="56"/>
      <c r="B144" s="56" t="s">
        <v>778</v>
      </c>
      <c r="C144" s="97" t="e">
        <f t="shared" si="19"/>
        <v>#REF!</v>
      </c>
      <c r="D144" s="97" t="e">
        <f t="shared" si="15"/>
        <v>#REF!</v>
      </c>
      <c r="E144" s="97" t="e">
        <f t="shared" si="16"/>
        <v>#REF!</v>
      </c>
      <c r="F144" s="97" t="e">
        <f t="shared" si="20"/>
        <v>#REF!</v>
      </c>
      <c r="G144" s="97" t="e">
        <f t="shared" si="18"/>
        <v>#REF!</v>
      </c>
    </row>
    <row r="145" spans="1:7" ht="14.25" customHeight="1">
      <c r="A145" s="56"/>
      <c r="B145" s="56" t="s">
        <v>779</v>
      </c>
      <c r="C145" s="97" t="e">
        <f t="shared" si="19"/>
        <v>#REF!</v>
      </c>
      <c r="D145" s="97" t="e">
        <f t="shared" si="15"/>
        <v>#REF!</v>
      </c>
      <c r="E145" s="97" t="e">
        <f t="shared" si="16"/>
        <v>#REF!</v>
      </c>
      <c r="F145" s="97" t="e">
        <f t="shared" si="20"/>
        <v>#REF!</v>
      </c>
      <c r="G145" s="97" t="e">
        <f t="shared" si="18"/>
        <v>#REF!</v>
      </c>
    </row>
    <row r="146" spans="1:7" ht="14.25" customHeight="1">
      <c r="A146" s="56"/>
      <c r="B146" s="56" t="s">
        <v>780</v>
      </c>
      <c r="C146" s="97" t="e">
        <f t="shared" si="19"/>
        <v>#REF!</v>
      </c>
      <c r="D146" s="97" t="e">
        <f t="shared" si="15"/>
        <v>#REF!</v>
      </c>
      <c r="E146" s="97" t="e">
        <f t="shared" si="16"/>
        <v>#REF!</v>
      </c>
      <c r="F146" s="97" t="e">
        <f t="shared" si="20"/>
        <v>#REF!</v>
      </c>
      <c r="G146" s="97" t="e">
        <f t="shared" si="18"/>
        <v>#REF!</v>
      </c>
    </row>
    <row r="147" spans="1:7" ht="14.25" customHeight="1">
      <c r="A147" s="56"/>
      <c r="B147" s="56" t="s">
        <v>781</v>
      </c>
      <c r="C147" s="97" t="e">
        <f t="shared" si="19"/>
        <v>#REF!</v>
      </c>
      <c r="D147" s="97" t="e">
        <f t="shared" si="15"/>
        <v>#REF!</v>
      </c>
      <c r="E147" s="97" t="e">
        <f t="shared" si="16"/>
        <v>#REF!</v>
      </c>
      <c r="F147" s="97" t="e">
        <f t="shared" si="20"/>
        <v>#REF!</v>
      </c>
      <c r="G147" s="97" t="e">
        <f t="shared" si="18"/>
        <v>#REF!</v>
      </c>
    </row>
    <row r="148" spans="1:7" ht="14.25" customHeight="1">
      <c r="A148" s="56" t="s">
        <v>359</v>
      </c>
      <c r="B148" s="56" t="s">
        <v>782</v>
      </c>
      <c r="C148" s="97" t="e">
        <f t="shared" si="19"/>
        <v>#REF!</v>
      </c>
      <c r="D148" s="97" t="e">
        <f t="shared" si="15"/>
        <v>#REF!</v>
      </c>
      <c r="E148" s="97" t="e">
        <f t="shared" si="16"/>
        <v>#REF!</v>
      </c>
      <c r="F148" s="97" t="e">
        <f t="shared" si="20"/>
        <v>#REF!</v>
      </c>
      <c r="G148" s="97" t="e">
        <f t="shared" si="18"/>
        <v>#REF!</v>
      </c>
    </row>
    <row r="149" spans="1:7" ht="14.25" customHeight="1">
      <c r="A149" s="56"/>
      <c r="B149" s="56" t="s">
        <v>783</v>
      </c>
      <c r="C149" s="97" t="e">
        <f t="shared" si="19"/>
        <v>#REF!</v>
      </c>
      <c r="D149" s="97" t="e">
        <f t="shared" si="15"/>
        <v>#REF!</v>
      </c>
      <c r="E149" s="97" t="e">
        <f t="shared" si="16"/>
        <v>#REF!</v>
      </c>
      <c r="F149" s="97" t="e">
        <f t="shared" si="20"/>
        <v>#REF!</v>
      </c>
      <c r="G149" s="97" t="e">
        <f t="shared" si="18"/>
        <v>#REF!</v>
      </c>
    </row>
    <row r="150" spans="1:7" ht="14.25" customHeight="1">
      <c r="A150" s="56"/>
      <c r="B150" s="56" t="s">
        <v>784</v>
      </c>
      <c r="C150" s="97" t="e">
        <f t="shared" si="19"/>
        <v>#REF!</v>
      </c>
      <c r="D150" s="97" t="e">
        <f t="shared" si="15"/>
        <v>#REF!</v>
      </c>
      <c r="E150" s="97" t="e">
        <f t="shared" si="16"/>
        <v>#REF!</v>
      </c>
      <c r="F150" s="97" t="e">
        <f t="shared" si="20"/>
        <v>#REF!</v>
      </c>
      <c r="G150" s="97" t="e">
        <f t="shared" si="18"/>
        <v>#REF!</v>
      </c>
    </row>
    <row r="151" spans="1:7" ht="14.25" customHeight="1">
      <c r="A151" s="56"/>
      <c r="B151" s="56" t="s">
        <v>785</v>
      </c>
      <c r="C151" s="97" t="e">
        <f t="shared" si="19"/>
        <v>#REF!</v>
      </c>
      <c r="D151" s="97" t="e">
        <f t="shared" si="15"/>
        <v>#REF!</v>
      </c>
      <c r="E151" s="97" t="e">
        <f t="shared" si="16"/>
        <v>#REF!</v>
      </c>
      <c r="F151" s="97" t="e">
        <f t="shared" si="20"/>
        <v>#REF!</v>
      </c>
      <c r="G151" s="97" t="e">
        <f t="shared" si="18"/>
        <v>#REF!</v>
      </c>
    </row>
    <row r="152" spans="1:7" ht="14.25" customHeight="1">
      <c r="A152" s="56"/>
      <c r="B152" s="56" t="s">
        <v>786</v>
      </c>
      <c r="C152" s="97" t="e">
        <f t="shared" si="19"/>
        <v>#REF!</v>
      </c>
      <c r="D152" s="97" t="e">
        <f t="shared" si="15"/>
        <v>#REF!</v>
      </c>
      <c r="E152" s="97" t="e">
        <f t="shared" si="16"/>
        <v>#REF!</v>
      </c>
      <c r="F152" s="97" t="e">
        <f t="shared" si="20"/>
        <v>#REF!</v>
      </c>
      <c r="G152" s="97" t="e">
        <f t="shared" si="18"/>
        <v>#REF!</v>
      </c>
    </row>
    <row r="153" spans="1:7" ht="14.25" customHeight="1">
      <c r="A153" s="56"/>
      <c r="B153" s="56" t="s">
        <v>787</v>
      </c>
      <c r="C153" s="97" t="e">
        <f t="shared" si="19"/>
        <v>#REF!</v>
      </c>
      <c r="D153" s="97" t="e">
        <f t="shared" si="15"/>
        <v>#REF!</v>
      </c>
      <c r="E153" s="97" t="e">
        <f t="shared" si="16"/>
        <v>#REF!</v>
      </c>
      <c r="F153" s="97" t="e">
        <f t="shared" si="20"/>
        <v>#REF!</v>
      </c>
      <c r="G153" s="97" t="e">
        <f t="shared" si="18"/>
        <v>#REF!</v>
      </c>
    </row>
    <row r="154" spans="1:7" ht="14.25" customHeight="1">
      <c r="A154" s="56"/>
      <c r="B154" s="56" t="s">
        <v>788</v>
      </c>
      <c r="C154" s="97" t="e">
        <f t="shared" si="19"/>
        <v>#REF!</v>
      </c>
      <c r="D154" s="97" t="e">
        <f t="shared" si="15"/>
        <v>#REF!</v>
      </c>
      <c r="E154" s="97" t="e">
        <f t="shared" si="16"/>
        <v>#REF!</v>
      </c>
      <c r="F154" s="97" t="e">
        <f t="shared" si="20"/>
        <v>#REF!</v>
      </c>
      <c r="G154" s="97" t="e">
        <f t="shared" si="18"/>
        <v>#REF!</v>
      </c>
    </row>
    <row r="155" spans="1:7" ht="14.25" customHeight="1">
      <c r="A155" s="56"/>
      <c r="B155" s="56" t="s">
        <v>789</v>
      </c>
      <c r="C155" s="97" t="e">
        <f t="shared" si="19"/>
        <v>#REF!</v>
      </c>
      <c r="D155" s="97" t="e">
        <f t="shared" si="15"/>
        <v>#REF!</v>
      </c>
      <c r="E155" s="97" t="e">
        <f t="shared" si="16"/>
        <v>#REF!</v>
      </c>
      <c r="F155" s="97" t="e">
        <f t="shared" si="20"/>
        <v>#REF!</v>
      </c>
      <c r="G155" s="97" t="e">
        <f t="shared" si="18"/>
        <v>#REF!</v>
      </c>
    </row>
    <row r="156" spans="1:7" ht="14.25" customHeight="1">
      <c r="A156" s="56"/>
      <c r="B156" s="56" t="s">
        <v>790</v>
      </c>
      <c r="C156" s="97" t="e">
        <f t="shared" si="19"/>
        <v>#REF!</v>
      </c>
      <c r="D156" s="97" t="e">
        <f t="shared" si="15"/>
        <v>#REF!</v>
      </c>
      <c r="E156" s="97" t="e">
        <f t="shared" si="16"/>
        <v>#REF!</v>
      </c>
      <c r="F156" s="97" t="e">
        <f t="shared" si="20"/>
        <v>#REF!</v>
      </c>
      <c r="G156" s="97" t="e">
        <f t="shared" si="18"/>
        <v>#REF!</v>
      </c>
    </row>
    <row r="157" spans="1:7" ht="14.25" customHeight="1">
      <c r="A157" s="56"/>
      <c r="B157" s="56" t="s">
        <v>791</v>
      </c>
      <c r="C157" s="97" t="e">
        <f t="shared" si="19"/>
        <v>#REF!</v>
      </c>
      <c r="D157" s="97" t="e">
        <f t="shared" si="15"/>
        <v>#REF!</v>
      </c>
      <c r="E157" s="97" t="e">
        <f t="shared" si="16"/>
        <v>#REF!</v>
      </c>
      <c r="F157" s="97" t="e">
        <f t="shared" si="20"/>
        <v>#REF!</v>
      </c>
      <c r="G157" s="97" t="e">
        <f t="shared" si="18"/>
        <v>#REF!</v>
      </c>
    </row>
    <row r="158" spans="1:7" ht="14.25" customHeight="1">
      <c r="A158" s="56"/>
      <c r="B158" s="56" t="s">
        <v>792</v>
      </c>
      <c r="C158" s="97" t="e">
        <f t="shared" si="19"/>
        <v>#REF!</v>
      </c>
      <c r="D158" s="97" t="e">
        <f t="shared" si="15"/>
        <v>#REF!</v>
      </c>
      <c r="E158" s="97" t="e">
        <f t="shared" si="16"/>
        <v>#REF!</v>
      </c>
      <c r="F158" s="97" t="e">
        <f t="shared" si="20"/>
        <v>#REF!</v>
      </c>
      <c r="G158" s="97" t="e">
        <f t="shared" si="18"/>
        <v>#REF!</v>
      </c>
    </row>
    <row r="159" spans="1:7" ht="14.25" customHeight="1">
      <c r="A159" s="56"/>
      <c r="B159" s="56" t="s">
        <v>793</v>
      </c>
      <c r="C159" s="97" t="e">
        <f t="shared" si="19"/>
        <v>#REF!</v>
      </c>
      <c r="D159" s="97" t="e">
        <f t="shared" si="15"/>
        <v>#REF!</v>
      </c>
      <c r="E159" s="97" t="e">
        <f t="shared" si="16"/>
        <v>#REF!</v>
      </c>
      <c r="F159" s="97" t="e">
        <f t="shared" si="20"/>
        <v>#REF!</v>
      </c>
      <c r="G159" s="97" t="e">
        <f t="shared" si="18"/>
        <v>#REF!</v>
      </c>
    </row>
    <row r="160" spans="1:7" ht="14.25" customHeight="1"/>
    <row r="161" spans="1:9" ht="14.25" customHeight="1"/>
    <row r="162" spans="1:9" ht="14.25" customHeight="1"/>
    <row r="163" spans="1:9" ht="14.25" customHeight="1"/>
    <row r="164" spans="1:9" ht="14.25" customHeight="1"/>
    <row r="165" spans="1:9" ht="14.25" customHeight="1"/>
    <row r="166" spans="1:9" ht="14.25" customHeight="1">
      <c r="A166" s="406" t="s">
        <v>481</v>
      </c>
      <c r="B166" s="360"/>
      <c r="C166" s="360"/>
      <c r="D166" s="360"/>
      <c r="E166" s="360"/>
      <c r="F166" s="360"/>
      <c r="G166" s="360"/>
      <c r="H166" s="360"/>
      <c r="I166" s="360"/>
    </row>
    <row r="167" spans="1:9" ht="14.25" customHeight="1">
      <c r="A167" s="230"/>
      <c r="B167" s="230"/>
      <c r="C167" s="230"/>
      <c r="D167" s="230"/>
      <c r="E167" s="230"/>
      <c r="F167" s="230"/>
      <c r="G167" s="230"/>
      <c r="H167" s="230"/>
      <c r="I167" s="230"/>
    </row>
    <row r="168" spans="1:9" ht="14.25" customHeight="1">
      <c r="A168" s="231" t="s">
        <v>482</v>
      </c>
      <c r="B168" s="232" t="s">
        <v>483</v>
      </c>
      <c r="C168" s="232" t="s">
        <v>204</v>
      </c>
      <c r="D168" s="232" t="s">
        <v>205</v>
      </c>
      <c r="E168" s="232" t="s">
        <v>206</v>
      </c>
      <c r="F168" s="232" t="s">
        <v>207</v>
      </c>
      <c r="G168" s="232" t="s">
        <v>208</v>
      </c>
      <c r="H168" s="232" t="s">
        <v>209</v>
      </c>
      <c r="I168" s="232" t="s">
        <v>210</v>
      </c>
    </row>
    <row r="169" spans="1:9" ht="14.25" customHeight="1">
      <c r="A169" s="133"/>
      <c r="B169" s="133"/>
      <c r="C169" s="133"/>
      <c r="D169" s="133"/>
      <c r="E169" s="133"/>
      <c r="F169" s="133"/>
      <c r="G169" s="133"/>
      <c r="H169" s="133"/>
      <c r="I169" s="133"/>
    </row>
    <row r="170" spans="1:9" ht="14.25" customHeight="1">
      <c r="A170" s="133" t="s">
        <v>505</v>
      </c>
      <c r="B170" s="133"/>
      <c r="C170" s="233" t="e">
        <f t="shared" ref="C170:I170" si="21">B51</f>
        <v>#REF!</v>
      </c>
      <c r="D170" s="233" t="e">
        <f t="shared" si="21"/>
        <v>#REF!</v>
      </c>
      <c r="E170" s="233" t="e">
        <f t="shared" si="21"/>
        <v>#REF!</v>
      </c>
      <c r="F170" s="233" t="e">
        <f t="shared" si="21"/>
        <v>#REF!</v>
      </c>
      <c r="G170" s="233" t="e">
        <f t="shared" si="21"/>
        <v>#REF!</v>
      </c>
      <c r="H170" s="233" t="e">
        <f t="shared" si="21"/>
        <v>#REF!</v>
      </c>
      <c r="I170" s="233" t="e">
        <f t="shared" si="21"/>
        <v>#REF!</v>
      </c>
    </row>
    <row r="171" spans="1:9" ht="14.25" customHeight="1">
      <c r="A171" s="133"/>
      <c r="B171" s="133"/>
      <c r="C171" s="233"/>
      <c r="D171" s="233"/>
      <c r="E171" s="233"/>
      <c r="F171" s="233"/>
      <c r="G171" s="233"/>
      <c r="H171" s="233"/>
      <c r="I171" s="233"/>
    </row>
    <row r="172" spans="1:9" ht="14.25" customHeight="1">
      <c r="A172" s="136" t="s">
        <v>794</v>
      </c>
      <c r="B172" s="136"/>
      <c r="C172" s="233">
        <f t="shared" ref="C172:I172" si="22">B42</f>
        <v>1252517.731892</v>
      </c>
      <c r="D172" s="233">
        <f t="shared" si="22"/>
        <v>1252517.731892</v>
      </c>
      <c r="E172" s="233">
        <f t="shared" si="22"/>
        <v>1252517.731892</v>
      </c>
      <c r="F172" s="233">
        <f t="shared" si="22"/>
        <v>1252517.731892</v>
      </c>
      <c r="G172" s="233">
        <f t="shared" si="22"/>
        <v>1252517.731892</v>
      </c>
      <c r="H172" s="233">
        <f t="shared" si="22"/>
        <v>1252517.731892</v>
      </c>
      <c r="I172" s="233">
        <f t="shared" si="22"/>
        <v>1252517.731892</v>
      </c>
    </row>
    <row r="173" spans="1:9" ht="14.25" customHeight="1">
      <c r="A173" s="133" t="s">
        <v>486</v>
      </c>
      <c r="B173" s="133"/>
      <c r="C173" s="233">
        <f t="shared" ref="C173:I173" si="23">B43</f>
        <v>27000</v>
      </c>
      <c r="D173" s="233">
        <f t="shared" si="23"/>
        <v>27000</v>
      </c>
      <c r="E173" s="233">
        <f t="shared" si="23"/>
        <v>27000</v>
      </c>
      <c r="F173" s="233">
        <f t="shared" si="23"/>
        <v>27000</v>
      </c>
      <c r="G173" s="233">
        <f t="shared" si="23"/>
        <v>27000</v>
      </c>
      <c r="H173" s="233">
        <f t="shared" si="23"/>
        <v>0</v>
      </c>
      <c r="I173" s="233">
        <f t="shared" si="23"/>
        <v>0</v>
      </c>
    </row>
    <row r="174" spans="1:9" ht="14.25" customHeight="1">
      <c r="A174" s="133"/>
      <c r="B174" s="133"/>
      <c r="C174" s="133"/>
      <c r="D174" s="133"/>
      <c r="E174" s="133"/>
      <c r="F174" s="133"/>
      <c r="G174" s="133"/>
      <c r="H174" s="133"/>
      <c r="I174" s="133"/>
    </row>
    <row r="175" spans="1:9" ht="14.25" customHeight="1">
      <c r="A175" s="133" t="s">
        <v>487</v>
      </c>
      <c r="B175" s="133"/>
      <c r="C175" s="233" t="e">
        <f t="shared" ref="C175:I175" si="24">SUM(C170:C173)</f>
        <v>#REF!</v>
      </c>
      <c r="D175" s="233" t="e">
        <f t="shared" si="24"/>
        <v>#REF!</v>
      </c>
      <c r="E175" s="233" t="e">
        <f t="shared" si="24"/>
        <v>#REF!</v>
      </c>
      <c r="F175" s="233" t="e">
        <f t="shared" si="24"/>
        <v>#REF!</v>
      </c>
      <c r="G175" s="233" t="e">
        <f t="shared" si="24"/>
        <v>#REF!</v>
      </c>
      <c r="H175" s="233" t="e">
        <f t="shared" si="24"/>
        <v>#REF!</v>
      </c>
      <c r="I175" s="233" t="e">
        <f t="shared" si="24"/>
        <v>#REF!</v>
      </c>
    </row>
    <row r="176" spans="1:9" ht="14.25" customHeight="1">
      <c r="A176" s="133" t="s">
        <v>488</v>
      </c>
      <c r="B176" s="234" t="e">
        <f>-'1.Project Cost and MOF'!#REF!</f>
        <v>#REF!</v>
      </c>
      <c r="C176" s="233" t="e">
        <f t="shared" ref="C176:I176" si="25">C175</f>
        <v>#REF!</v>
      </c>
      <c r="D176" s="233" t="e">
        <f t="shared" si="25"/>
        <v>#REF!</v>
      </c>
      <c r="E176" s="233" t="e">
        <f t="shared" si="25"/>
        <v>#REF!</v>
      </c>
      <c r="F176" s="233" t="e">
        <f t="shared" si="25"/>
        <v>#REF!</v>
      </c>
      <c r="G176" s="233" t="e">
        <f t="shared" si="25"/>
        <v>#REF!</v>
      </c>
      <c r="H176" s="233" t="e">
        <f t="shared" si="25"/>
        <v>#REF!</v>
      </c>
      <c r="I176" s="233" t="e">
        <f t="shared" si="25"/>
        <v>#REF!</v>
      </c>
    </row>
    <row r="177" spans="1:9" ht="14.25" customHeight="1">
      <c r="A177" s="133" t="s">
        <v>489</v>
      </c>
      <c r="B177" s="235" t="e">
        <f>IRR(B176:I176)</f>
        <v>#VALUE!</v>
      </c>
      <c r="C177" s="233"/>
      <c r="D177" s="233"/>
      <c r="E177" s="233"/>
      <c r="F177" s="233"/>
      <c r="G177" s="233"/>
      <c r="H177" s="233"/>
      <c r="I177" s="233"/>
    </row>
    <row r="178" spans="1:9" ht="14.25" customHeight="1">
      <c r="A178" s="133"/>
      <c r="B178" s="133"/>
      <c r="C178" s="133"/>
      <c r="D178" s="133"/>
      <c r="E178" s="133"/>
      <c r="F178" s="133"/>
      <c r="G178" s="133"/>
      <c r="H178" s="133"/>
      <c r="I178" s="133"/>
    </row>
    <row r="179" spans="1:9" ht="14.25" customHeight="1">
      <c r="A179" s="236" t="s">
        <v>490</v>
      </c>
      <c r="B179" s="237"/>
      <c r="C179" s="238" t="e">
        <f>1/(1+$B$177)</f>
        <v>#VALUE!</v>
      </c>
      <c r="D179" s="238" t="e">
        <f t="shared" ref="D179:I179" si="26">C179/(1+$B$177)</f>
        <v>#VALUE!</v>
      </c>
      <c r="E179" s="238" t="e">
        <f t="shared" si="26"/>
        <v>#VALUE!</v>
      </c>
      <c r="F179" s="238" t="e">
        <f t="shared" si="26"/>
        <v>#VALUE!</v>
      </c>
      <c r="G179" s="238" t="e">
        <f t="shared" si="26"/>
        <v>#VALUE!</v>
      </c>
      <c r="H179" s="238" t="e">
        <f t="shared" si="26"/>
        <v>#VALUE!</v>
      </c>
      <c r="I179" s="238" t="e">
        <f t="shared" si="26"/>
        <v>#VALUE!</v>
      </c>
    </row>
    <row r="180" spans="1:9" ht="14.25" customHeight="1">
      <c r="A180" s="133" t="s">
        <v>491</v>
      </c>
      <c r="B180" s="133"/>
      <c r="C180" s="233" t="e">
        <f t="shared" ref="C180:I180" si="27">C175*C179</f>
        <v>#REF!</v>
      </c>
      <c r="D180" s="233" t="e">
        <f t="shared" si="27"/>
        <v>#REF!</v>
      </c>
      <c r="E180" s="233" t="e">
        <f t="shared" si="27"/>
        <v>#REF!</v>
      </c>
      <c r="F180" s="233" t="e">
        <f t="shared" si="27"/>
        <v>#REF!</v>
      </c>
      <c r="G180" s="233" t="e">
        <f t="shared" si="27"/>
        <v>#REF!</v>
      </c>
      <c r="H180" s="233" t="e">
        <f t="shared" si="27"/>
        <v>#REF!</v>
      </c>
      <c r="I180" s="233" t="e">
        <f t="shared" si="27"/>
        <v>#REF!</v>
      </c>
    </row>
    <row r="181" spans="1:9" ht="14.25" customHeight="1">
      <c r="A181" s="133" t="s">
        <v>492</v>
      </c>
      <c r="B181" s="133"/>
      <c r="C181" s="400" t="e">
        <f>SUM(C180:I180)</f>
        <v>#REF!</v>
      </c>
      <c r="D181" s="347"/>
      <c r="E181" s="347"/>
      <c r="F181" s="347"/>
      <c r="G181" s="347"/>
      <c r="H181" s="347"/>
      <c r="I181" s="348"/>
    </row>
    <row r="182" spans="1:9" ht="14.25" customHeight="1">
      <c r="A182" s="133"/>
      <c r="B182" s="133"/>
      <c r="C182" s="233"/>
      <c r="D182" s="233"/>
      <c r="E182" s="233"/>
      <c r="F182" s="233"/>
      <c r="G182" s="233"/>
      <c r="H182" s="233"/>
      <c r="I182" s="233"/>
    </row>
    <row r="183" spans="1:9" ht="14.25" customHeight="1">
      <c r="A183" s="242" t="s">
        <v>493</v>
      </c>
      <c r="B183" s="242"/>
      <c r="C183" s="401" t="e">
        <f>-B176</f>
        <v>#REF!</v>
      </c>
      <c r="D183" s="360"/>
      <c r="E183" s="360"/>
      <c r="F183" s="360"/>
      <c r="G183" s="360"/>
      <c r="H183" s="360"/>
      <c r="I183" s="360"/>
    </row>
    <row r="184" spans="1:9" ht="14.25" customHeight="1">
      <c r="E184" s="240" t="e">
        <f>C181-C183</f>
        <v>#REF!</v>
      </c>
    </row>
    <row r="185" spans="1:9" ht="14.25" customHeight="1">
      <c r="A185" s="399" t="s">
        <v>494</v>
      </c>
      <c r="B185" s="360"/>
      <c r="C185" s="360"/>
      <c r="D185" s="360"/>
      <c r="E185" s="360"/>
      <c r="F185" s="360"/>
      <c r="G185" s="360"/>
      <c r="H185" s="360"/>
      <c r="I185" s="360"/>
    </row>
    <row r="186" spans="1:9" ht="14.25" customHeight="1"/>
    <row r="187" spans="1:9" ht="14.25" customHeight="1">
      <c r="A187" s="359" t="s">
        <v>495</v>
      </c>
      <c r="B187" s="360"/>
      <c r="C187" s="360"/>
      <c r="D187" s="360"/>
      <c r="E187" s="360"/>
      <c r="F187" s="360"/>
      <c r="G187" s="360"/>
      <c r="H187" s="360"/>
    </row>
    <row r="188" spans="1:9" ht="14.25" customHeight="1"/>
    <row r="189" spans="1:9" ht="14.25" customHeight="1">
      <c r="A189" s="243" t="s">
        <v>201</v>
      </c>
      <c r="B189" s="244" t="s">
        <v>204</v>
      </c>
      <c r="C189" s="244" t="s">
        <v>205</v>
      </c>
      <c r="D189" s="244" t="s">
        <v>206</v>
      </c>
      <c r="E189" s="244" t="s">
        <v>207</v>
      </c>
      <c r="F189" s="244" t="s">
        <v>208</v>
      </c>
      <c r="G189" s="244" t="s">
        <v>209</v>
      </c>
      <c r="H189" s="244" t="s">
        <v>210</v>
      </c>
    </row>
    <row r="190" spans="1:9" ht="14.25" customHeight="1">
      <c r="A190" s="56"/>
      <c r="B190" s="56"/>
      <c r="C190" s="56"/>
      <c r="D190" s="56"/>
      <c r="E190" s="56"/>
      <c r="F190" s="56"/>
      <c r="G190" s="56"/>
      <c r="H190" s="56"/>
    </row>
    <row r="191" spans="1:9" ht="14.25" customHeight="1">
      <c r="A191" s="56" t="s">
        <v>496</v>
      </c>
      <c r="B191" s="56"/>
      <c r="C191" s="56"/>
      <c r="D191" s="56"/>
      <c r="E191" s="56"/>
      <c r="F191" s="56"/>
      <c r="G191" s="56"/>
      <c r="H191" s="56"/>
    </row>
    <row r="192" spans="1:9" ht="14.25" customHeight="1">
      <c r="A192" s="56"/>
      <c r="B192" s="97"/>
      <c r="C192" s="97"/>
      <c r="D192" s="97"/>
      <c r="E192" s="97"/>
      <c r="F192" s="97"/>
      <c r="G192" s="97"/>
      <c r="H192" s="97"/>
    </row>
    <row r="193" spans="1:8" ht="14.25" customHeight="1">
      <c r="A193" s="245" t="str">
        <f t="shared" ref="A193:H193" si="28">A8</f>
        <v>Faclitiy 1 - Cleaning &amp; Grading</v>
      </c>
      <c r="B193" s="97">
        <f t="shared" si="28"/>
        <v>23906058.093605995</v>
      </c>
      <c r="C193" s="97">
        <f t="shared" si="28"/>
        <v>30606045.427735046</v>
      </c>
      <c r="D193" s="97">
        <f t="shared" si="28"/>
        <v>36760282.619858757</v>
      </c>
      <c r="E193" s="97">
        <f t="shared" si="28"/>
        <v>43453428.417625487</v>
      </c>
      <c r="F193" s="97">
        <f t="shared" si="28"/>
        <v>50723988.088619255</v>
      </c>
      <c r="G193" s="97">
        <f t="shared" si="28"/>
        <v>58612970.155668333</v>
      </c>
      <c r="H193" s="97">
        <f t="shared" si="28"/>
        <v>67164040.45920077</v>
      </c>
    </row>
    <row r="194" spans="1:8" ht="14.25" customHeight="1">
      <c r="A194" s="245" t="str">
        <f t="shared" ref="A194:H194" si="29">A9</f>
        <v>Faclitiy 2 - Processing Unit- Dal Mill</v>
      </c>
      <c r="B194" s="97">
        <f t="shared" si="29"/>
        <v>25323936.622074995</v>
      </c>
      <c r="C194" s="97">
        <f t="shared" si="29"/>
        <v>30491826.05984287</v>
      </c>
      <c r="D194" s="97">
        <f t="shared" si="29"/>
        <v>34957344.743260145</v>
      </c>
      <c r="E194" s="97">
        <f t="shared" si="29"/>
        <v>39793185.729869537</v>
      </c>
      <c r="F194" s="97">
        <f t="shared" si="29"/>
        <v>45025217.453281716</v>
      </c>
      <c r="G194" s="97">
        <f t="shared" si="29"/>
        <v>50680969.384710439</v>
      </c>
      <c r="H194" s="97">
        <f t="shared" si="29"/>
        <v>56789733.465648837</v>
      </c>
    </row>
    <row r="195" spans="1:8" ht="14.25" customHeight="1">
      <c r="A195" s="245" t="str">
        <f t="shared" ref="A195:H195" si="30">A10</f>
        <v>Faclitiy 3 - Warehouse</v>
      </c>
      <c r="B195" s="97">
        <f t="shared" si="30"/>
        <v>1152000</v>
      </c>
      <c r="C195" s="97">
        <f t="shared" si="30"/>
        <v>1285200.0000000002</v>
      </c>
      <c r="D195" s="97">
        <f t="shared" si="30"/>
        <v>1428840.0000000002</v>
      </c>
      <c r="E195" s="97">
        <f t="shared" si="30"/>
        <v>1583631.0000000007</v>
      </c>
      <c r="F195" s="97">
        <f t="shared" si="30"/>
        <v>1750329.0000000009</v>
      </c>
      <c r="G195" s="97">
        <f t="shared" si="30"/>
        <v>1837845.4500000011</v>
      </c>
      <c r="H195" s="97">
        <f t="shared" si="30"/>
        <v>1929737.7225000013</v>
      </c>
    </row>
    <row r="196" spans="1:8" ht="14.25" customHeight="1">
      <c r="A196" s="245" t="str">
        <f t="shared" ref="A196:H196" si="31">A11</f>
        <v xml:space="preserve">Faclitiy 4 - Custom Hiring </v>
      </c>
      <c r="B196" s="97">
        <f t="shared" si="31"/>
        <v>0</v>
      </c>
      <c r="C196" s="97">
        <f t="shared" si="31"/>
        <v>0</v>
      </c>
      <c r="D196" s="97">
        <f t="shared" si="31"/>
        <v>0</v>
      </c>
      <c r="E196" s="97">
        <f t="shared" si="31"/>
        <v>0</v>
      </c>
      <c r="F196" s="97">
        <f t="shared" si="31"/>
        <v>0</v>
      </c>
      <c r="G196" s="97">
        <f t="shared" si="31"/>
        <v>0</v>
      </c>
      <c r="H196" s="97">
        <f t="shared" si="31"/>
        <v>0</v>
      </c>
    </row>
    <row r="197" spans="1:8" ht="14.25" customHeight="1">
      <c r="A197" s="245" t="str">
        <f t="shared" ref="A197:H197" si="32">A12</f>
        <v>Faclitiy 5 - Agri Input Centre</v>
      </c>
      <c r="B197" s="97">
        <f t="shared" si="32"/>
        <v>0</v>
      </c>
      <c r="C197" s="97">
        <f t="shared" si="32"/>
        <v>0</v>
      </c>
      <c r="D197" s="97">
        <f t="shared" si="32"/>
        <v>0</v>
      </c>
      <c r="E197" s="97">
        <f t="shared" si="32"/>
        <v>0</v>
      </c>
      <c r="F197" s="97">
        <f t="shared" si="32"/>
        <v>0</v>
      </c>
      <c r="G197" s="97">
        <f t="shared" si="32"/>
        <v>0</v>
      </c>
      <c r="H197" s="97">
        <f t="shared" si="32"/>
        <v>0</v>
      </c>
    </row>
    <row r="198" spans="1:8" ht="14.25" customHeight="1">
      <c r="A198" s="245" t="str">
        <f t="shared" ref="A198:H198" si="33">A13</f>
        <v>Facility 6 - Processing Unit - Horti Commodity</v>
      </c>
      <c r="B198" s="97">
        <f t="shared" si="33"/>
        <v>0</v>
      </c>
      <c r="C198" s="97">
        <f t="shared" si="33"/>
        <v>0</v>
      </c>
      <c r="D198" s="97">
        <f t="shared" si="33"/>
        <v>0</v>
      </c>
      <c r="E198" s="97">
        <f t="shared" si="33"/>
        <v>0</v>
      </c>
      <c r="F198" s="97">
        <f t="shared" si="33"/>
        <v>0</v>
      </c>
      <c r="G198" s="97">
        <f t="shared" si="33"/>
        <v>0</v>
      </c>
      <c r="H198" s="97">
        <f t="shared" si="33"/>
        <v>0</v>
      </c>
    </row>
    <row r="199" spans="1:8" ht="14.25" customHeight="1">
      <c r="A199" s="245"/>
      <c r="B199" s="245"/>
      <c r="C199" s="245"/>
      <c r="D199" s="245"/>
      <c r="E199" s="245"/>
      <c r="F199" s="245"/>
      <c r="G199" s="245"/>
      <c r="H199" s="245"/>
    </row>
    <row r="200" spans="1:8" ht="14.25" customHeight="1">
      <c r="A200" s="98" t="s">
        <v>497</v>
      </c>
      <c r="B200" s="99">
        <f t="shared" ref="B200:H200" si="34">SUM(B193:B199)</f>
        <v>50381994.715680987</v>
      </c>
      <c r="C200" s="99">
        <f t="shared" si="34"/>
        <v>62383071.487577915</v>
      </c>
      <c r="D200" s="99">
        <f t="shared" si="34"/>
        <v>73146467.363118902</v>
      </c>
      <c r="E200" s="99">
        <f t="shared" si="34"/>
        <v>84830245.147495031</v>
      </c>
      <c r="F200" s="99">
        <f t="shared" si="34"/>
        <v>97499534.541900963</v>
      </c>
      <c r="G200" s="99">
        <f t="shared" si="34"/>
        <v>111131784.99037878</v>
      </c>
      <c r="H200" s="99">
        <f t="shared" si="34"/>
        <v>125883511.6473496</v>
      </c>
    </row>
    <row r="201" spans="1:8" ht="14.25" customHeight="1">
      <c r="A201" s="56"/>
      <c r="B201" s="97"/>
      <c r="C201" s="97"/>
      <c r="D201" s="97"/>
      <c r="E201" s="97"/>
      <c r="F201" s="97"/>
      <c r="G201" s="97"/>
      <c r="H201" s="97"/>
    </row>
    <row r="202" spans="1:8" ht="14.25" customHeight="1">
      <c r="A202" s="56" t="s">
        <v>498</v>
      </c>
      <c r="B202" s="97">
        <f t="shared" ref="B202:H202" si="35">B25</f>
        <v>44279525.164500542</v>
      </c>
      <c r="C202" s="97">
        <f t="shared" si="35"/>
        <v>54090328.428730629</v>
      </c>
      <c r="D202" s="97">
        <f t="shared" si="35"/>
        <v>63401530.084520414</v>
      </c>
      <c r="E202" s="97">
        <f t="shared" si="35"/>
        <v>73508626.084817365</v>
      </c>
      <c r="F202" s="97">
        <f t="shared" si="35"/>
        <v>84467927.859932691</v>
      </c>
      <c r="G202" s="97">
        <f t="shared" si="35"/>
        <v>96339388.247347549</v>
      </c>
      <c r="H202" s="97">
        <f t="shared" si="35"/>
        <v>109186824.85385402</v>
      </c>
    </row>
    <row r="203" spans="1:8" ht="14.25" customHeight="1">
      <c r="A203" s="56"/>
      <c r="B203" s="97"/>
      <c r="C203" s="97"/>
      <c r="D203" s="97"/>
      <c r="E203" s="97"/>
      <c r="F203" s="97"/>
      <c r="G203" s="97"/>
      <c r="H203" s="97"/>
    </row>
    <row r="204" spans="1:8" ht="14.25" customHeight="1">
      <c r="A204" s="98" t="s">
        <v>499</v>
      </c>
      <c r="B204" s="99">
        <f t="shared" ref="B204:H204" si="36">B200-B202</f>
        <v>6102469.5511804447</v>
      </c>
      <c r="C204" s="99">
        <f t="shared" si="36"/>
        <v>8292743.0588472858</v>
      </c>
      <c r="D204" s="99">
        <f t="shared" si="36"/>
        <v>9744937.2785984874</v>
      </c>
      <c r="E204" s="99">
        <f t="shared" si="36"/>
        <v>11321619.062677667</v>
      </c>
      <c r="F204" s="99">
        <f t="shared" si="36"/>
        <v>13031606.681968272</v>
      </c>
      <c r="G204" s="99">
        <f t="shared" si="36"/>
        <v>14792396.743031234</v>
      </c>
      <c r="H204" s="99">
        <f t="shared" si="36"/>
        <v>16696686.793495581</v>
      </c>
    </row>
    <row r="205" spans="1:8" ht="14.25" customHeight="1">
      <c r="A205" s="56"/>
      <c r="B205" s="97"/>
      <c r="C205" s="97"/>
      <c r="D205" s="97"/>
      <c r="E205" s="97"/>
      <c r="F205" s="97"/>
      <c r="G205" s="97"/>
      <c r="H205" s="97"/>
    </row>
    <row r="206" spans="1:8" ht="14.25" customHeight="1">
      <c r="A206" s="98" t="s">
        <v>500</v>
      </c>
      <c r="B206" s="99">
        <f t="shared" ref="B206:H206" si="37">B36+B42+B43</f>
        <v>3491517.731892</v>
      </c>
      <c r="C206" s="99">
        <f t="shared" si="37"/>
        <v>3602117.731892</v>
      </c>
      <c r="D206" s="99">
        <f t="shared" si="37"/>
        <v>3718247.731892</v>
      </c>
      <c r="E206" s="99">
        <f t="shared" si="37"/>
        <v>3840184.2318920004</v>
      </c>
      <c r="F206" s="99">
        <f t="shared" si="37"/>
        <v>3968217.5568920001</v>
      </c>
      <c r="G206" s="99">
        <f t="shared" si="37"/>
        <v>4075652.5481420006</v>
      </c>
      <c r="H206" s="99">
        <f t="shared" si="37"/>
        <v>4216809.288954501</v>
      </c>
    </row>
    <row r="207" spans="1:8" ht="14.25" customHeight="1">
      <c r="A207" s="56"/>
      <c r="B207" s="56"/>
      <c r="C207" s="56"/>
      <c r="D207" s="56"/>
      <c r="E207" s="56"/>
      <c r="F207" s="56"/>
      <c r="G207" s="56"/>
      <c r="H207" s="56"/>
    </row>
    <row r="208" spans="1:8" ht="14.25" customHeight="1">
      <c r="A208" s="56" t="s">
        <v>501</v>
      </c>
      <c r="B208" s="171">
        <f t="shared" ref="B208:H208" si="38">B206/B204</f>
        <v>0.57214832497060319</v>
      </c>
      <c r="C208" s="171">
        <f t="shared" si="38"/>
        <v>0.43436987090164403</v>
      </c>
      <c r="D208" s="171">
        <f t="shared" si="38"/>
        <v>0.38155686646212633</v>
      </c>
      <c r="E208" s="171">
        <f t="shared" si="38"/>
        <v>0.33919037644989991</v>
      </c>
      <c r="F208" s="171">
        <f t="shared" si="38"/>
        <v>0.30450716122232191</v>
      </c>
      <c r="G208" s="171">
        <f t="shared" si="38"/>
        <v>0.27552347458920473</v>
      </c>
      <c r="H208" s="171">
        <f t="shared" si="38"/>
        <v>0.25255365577062966</v>
      </c>
    </row>
    <row r="209" spans="1:9" ht="14.25" customHeight="1">
      <c r="A209" s="92"/>
      <c r="B209" s="92"/>
      <c r="C209" s="92"/>
      <c r="D209" s="92"/>
      <c r="E209" s="92"/>
      <c r="F209" s="92"/>
      <c r="G209" s="92"/>
      <c r="H209" s="92"/>
    </row>
    <row r="210" spans="1:9" ht="14.25" customHeight="1">
      <c r="A210" s="246" t="s">
        <v>502</v>
      </c>
      <c r="B210" s="247">
        <f>AVERAGE(B208:H208)</f>
        <v>0.36569281862377562</v>
      </c>
      <c r="C210" s="92"/>
      <c r="D210" s="92"/>
      <c r="E210" s="92"/>
      <c r="F210" s="92"/>
      <c r="G210" s="92"/>
      <c r="H210" s="92"/>
    </row>
    <row r="211" spans="1:9" ht="14.25" customHeight="1"/>
    <row r="212" spans="1:9" ht="14.25" customHeight="1">
      <c r="A212" s="407" t="s">
        <v>503</v>
      </c>
      <c r="B212" s="360"/>
      <c r="C212" s="360"/>
      <c r="D212" s="360"/>
      <c r="E212" s="360"/>
      <c r="F212" s="360"/>
      <c r="G212" s="360"/>
      <c r="H212" s="360"/>
      <c r="I212" s="360"/>
    </row>
    <row r="213" spans="1:9" ht="14.25" customHeight="1"/>
    <row r="214" spans="1:9" ht="14.25" customHeight="1"/>
    <row r="215" spans="1:9" ht="14.25" customHeight="1">
      <c r="A215" s="359" t="s">
        <v>504</v>
      </c>
      <c r="B215" s="360"/>
      <c r="C215" s="360"/>
      <c r="D215" s="360"/>
      <c r="E215" s="360"/>
      <c r="F215" s="360"/>
      <c r="G215" s="360"/>
      <c r="H215" s="360"/>
    </row>
    <row r="216" spans="1:9" ht="14.25" customHeight="1"/>
    <row r="217" spans="1:9" ht="14.25" customHeight="1">
      <c r="A217" s="168" t="s">
        <v>482</v>
      </c>
      <c r="B217" s="169" t="s">
        <v>204</v>
      </c>
      <c r="C217" s="169" t="s">
        <v>205</v>
      </c>
      <c r="D217" s="169" t="s">
        <v>206</v>
      </c>
      <c r="E217" s="169" t="s">
        <v>207</v>
      </c>
      <c r="F217" s="169" t="s">
        <v>208</v>
      </c>
      <c r="G217" s="169" t="s">
        <v>209</v>
      </c>
      <c r="H217" s="169" t="s">
        <v>210</v>
      </c>
    </row>
    <row r="218" spans="1:9" ht="14.25" customHeight="1">
      <c r="A218" s="56"/>
      <c r="B218" s="56"/>
      <c r="C218" s="56"/>
      <c r="D218" s="56"/>
      <c r="E218" s="56"/>
      <c r="F218" s="56"/>
      <c r="G218" s="56"/>
      <c r="H218" s="56"/>
    </row>
    <row r="219" spans="1:9" ht="14.25" customHeight="1">
      <c r="A219" s="56" t="s">
        <v>505</v>
      </c>
      <c r="B219" s="248" t="e">
        <f t="shared" ref="B219:H219" si="39">B51</f>
        <v>#REF!</v>
      </c>
      <c r="C219" s="248" t="e">
        <f t="shared" si="39"/>
        <v>#REF!</v>
      </c>
      <c r="D219" s="248" t="e">
        <f t="shared" si="39"/>
        <v>#REF!</v>
      </c>
      <c r="E219" s="248" t="e">
        <f t="shared" si="39"/>
        <v>#REF!</v>
      </c>
      <c r="F219" s="248" t="e">
        <f t="shared" si="39"/>
        <v>#REF!</v>
      </c>
      <c r="G219" s="248" t="e">
        <f t="shared" si="39"/>
        <v>#REF!</v>
      </c>
      <c r="H219" s="248" t="e">
        <f t="shared" si="39"/>
        <v>#REF!</v>
      </c>
    </row>
    <row r="220" spans="1:9" ht="14.25" customHeight="1">
      <c r="A220" s="56"/>
      <c r="B220" s="248"/>
      <c r="C220" s="248"/>
      <c r="D220" s="248"/>
      <c r="E220" s="248"/>
      <c r="F220" s="248"/>
      <c r="G220" s="248"/>
      <c r="H220" s="248"/>
    </row>
    <row r="221" spans="1:9" ht="14.25" customHeight="1">
      <c r="A221" s="56" t="s">
        <v>506</v>
      </c>
      <c r="B221" s="248">
        <f t="shared" ref="B221:H221" si="40">B42</f>
        <v>1252517.731892</v>
      </c>
      <c r="C221" s="248">
        <f t="shared" si="40"/>
        <v>1252517.731892</v>
      </c>
      <c r="D221" s="248">
        <f t="shared" si="40"/>
        <v>1252517.731892</v>
      </c>
      <c r="E221" s="248">
        <f t="shared" si="40"/>
        <v>1252517.731892</v>
      </c>
      <c r="F221" s="248">
        <f t="shared" si="40"/>
        <v>1252517.731892</v>
      </c>
      <c r="G221" s="248">
        <f t="shared" si="40"/>
        <v>1252517.731892</v>
      </c>
      <c r="H221" s="248">
        <f t="shared" si="40"/>
        <v>1252517.731892</v>
      </c>
    </row>
    <row r="222" spans="1:9" ht="14.25" customHeight="1">
      <c r="A222" s="249" t="s">
        <v>507</v>
      </c>
      <c r="B222" s="248">
        <f t="shared" ref="B222:H222" si="41">B43</f>
        <v>27000</v>
      </c>
      <c r="C222" s="248">
        <f t="shared" si="41"/>
        <v>27000</v>
      </c>
      <c r="D222" s="248">
        <f t="shared" si="41"/>
        <v>27000</v>
      </c>
      <c r="E222" s="248">
        <f t="shared" si="41"/>
        <v>27000</v>
      </c>
      <c r="F222" s="248">
        <f t="shared" si="41"/>
        <v>27000</v>
      </c>
      <c r="G222" s="248">
        <f t="shared" si="41"/>
        <v>0</v>
      </c>
      <c r="H222" s="248">
        <f t="shared" si="41"/>
        <v>0</v>
      </c>
    </row>
    <row r="223" spans="1:9" ht="14.25" customHeight="1">
      <c r="A223" s="56"/>
      <c r="B223" s="248"/>
      <c r="C223" s="248"/>
      <c r="D223" s="248"/>
      <c r="E223" s="248"/>
      <c r="F223" s="248"/>
      <c r="G223" s="248"/>
      <c r="H223" s="248"/>
    </row>
    <row r="224" spans="1:9" ht="14.25" customHeight="1">
      <c r="A224" s="56" t="s">
        <v>487</v>
      </c>
      <c r="B224" s="248" t="e">
        <f t="shared" ref="B224:H224" si="42">SUM(B219:B222)</f>
        <v>#REF!</v>
      </c>
      <c r="C224" s="248" t="e">
        <f t="shared" si="42"/>
        <v>#REF!</v>
      </c>
      <c r="D224" s="248" t="e">
        <f t="shared" si="42"/>
        <v>#REF!</v>
      </c>
      <c r="E224" s="248" t="e">
        <f t="shared" si="42"/>
        <v>#REF!</v>
      </c>
      <c r="F224" s="248" t="e">
        <f t="shared" si="42"/>
        <v>#REF!</v>
      </c>
      <c r="G224" s="248" t="e">
        <f t="shared" si="42"/>
        <v>#REF!</v>
      </c>
      <c r="H224" s="248" t="e">
        <f t="shared" si="42"/>
        <v>#REF!</v>
      </c>
    </row>
    <row r="225" spans="1:9" ht="14.25" customHeight="1">
      <c r="A225" s="56"/>
      <c r="B225" s="56"/>
      <c r="C225" s="56"/>
      <c r="D225" s="56"/>
      <c r="E225" s="56"/>
      <c r="F225" s="56"/>
      <c r="G225" s="56"/>
      <c r="H225" s="56"/>
    </row>
    <row r="226" spans="1:9" ht="14.25" customHeight="1">
      <c r="A226" s="250" t="s">
        <v>508</v>
      </c>
      <c r="B226" s="245">
        <f>1/1.1</f>
        <v>0.90909090909090906</v>
      </c>
      <c r="C226" s="245">
        <f t="shared" ref="C226:H226" si="43">B226/1.1</f>
        <v>0.82644628099173545</v>
      </c>
      <c r="D226" s="245">
        <f t="shared" si="43"/>
        <v>0.75131480090157765</v>
      </c>
      <c r="E226" s="245">
        <f t="shared" si="43"/>
        <v>0.68301345536507052</v>
      </c>
      <c r="F226" s="245">
        <f t="shared" si="43"/>
        <v>0.62092132305915493</v>
      </c>
      <c r="G226" s="245">
        <f t="shared" si="43"/>
        <v>0.56447393005377711</v>
      </c>
      <c r="H226" s="245">
        <f t="shared" si="43"/>
        <v>0.51315811823070645</v>
      </c>
    </row>
    <row r="227" spans="1:9" ht="14.25" customHeight="1">
      <c r="A227" s="56"/>
      <c r="B227" s="56"/>
      <c r="C227" s="56"/>
      <c r="D227" s="56"/>
      <c r="E227" s="56"/>
      <c r="F227" s="56"/>
      <c r="G227" s="56"/>
      <c r="H227" s="56"/>
    </row>
    <row r="228" spans="1:9" ht="14.25" customHeight="1">
      <c r="A228" s="250" t="s">
        <v>509</v>
      </c>
      <c r="B228" s="97" t="e">
        <f t="shared" ref="B228:H228" si="44">B224*B226</f>
        <v>#REF!</v>
      </c>
      <c r="C228" s="97" t="e">
        <f t="shared" si="44"/>
        <v>#REF!</v>
      </c>
      <c r="D228" s="97" t="e">
        <f t="shared" si="44"/>
        <v>#REF!</v>
      </c>
      <c r="E228" s="97" t="e">
        <f t="shared" si="44"/>
        <v>#REF!</v>
      </c>
      <c r="F228" s="97" t="e">
        <f t="shared" si="44"/>
        <v>#REF!</v>
      </c>
      <c r="G228" s="97" t="e">
        <f t="shared" si="44"/>
        <v>#REF!</v>
      </c>
      <c r="H228" s="97" t="e">
        <f t="shared" si="44"/>
        <v>#REF!</v>
      </c>
    </row>
    <row r="229" spans="1:9" ht="14.25" customHeight="1">
      <c r="A229" s="92"/>
      <c r="B229" s="158"/>
      <c r="C229" s="158"/>
      <c r="D229" s="158"/>
      <c r="E229" s="158"/>
      <c r="F229" s="158"/>
      <c r="G229" s="158"/>
      <c r="H229" s="158"/>
    </row>
    <row r="230" spans="1:9" ht="14.25" customHeight="1">
      <c r="A230" s="251" t="s">
        <v>510</v>
      </c>
      <c r="B230" s="158" t="e">
        <f>SUM(B228:H228)</f>
        <v>#REF!</v>
      </c>
      <c r="C230" s="158"/>
      <c r="D230" s="158"/>
      <c r="E230" s="158"/>
      <c r="F230" s="158"/>
      <c r="G230" s="158"/>
      <c r="H230" s="158"/>
    </row>
    <row r="231" spans="1:9" ht="14.25" customHeight="1">
      <c r="A231" s="92"/>
      <c r="B231" s="158"/>
      <c r="C231" s="158"/>
      <c r="D231" s="158"/>
      <c r="E231" s="158"/>
      <c r="F231" s="158"/>
      <c r="G231" s="158"/>
      <c r="H231" s="158"/>
    </row>
    <row r="232" spans="1:9" ht="14.25" customHeight="1">
      <c r="A232" s="251" t="s">
        <v>511</v>
      </c>
      <c r="B232" s="158" t="e">
        <f>-B176</f>
        <v>#REF!</v>
      </c>
      <c r="C232" s="158"/>
      <c r="D232" s="158"/>
      <c r="E232" s="158"/>
      <c r="F232" s="158"/>
      <c r="G232" s="158"/>
      <c r="H232" s="158"/>
    </row>
    <row r="233" spans="1:9" ht="14.25" customHeight="1">
      <c r="A233" s="92"/>
      <c r="B233" s="252"/>
      <c r="C233" s="92"/>
      <c r="D233" s="92"/>
      <c r="E233" s="92"/>
      <c r="F233" s="92"/>
      <c r="G233" s="92"/>
      <c r="H233" s="92"/>
    </row>
    <row r="234" spans="1:9" ht="14.25" customHeight="1">
      <c r="A234" s="251" t="s">
        <v>512</v>
      </c>
      <c r="B234" s="252" t="e">
        <f>B230-B232</f>
        <v>#REF!</v>
      </c>
      <c r="C234" s="92"/>
      <c r="D234" s="92"/>
      <c r="E234" s="92"/>
      <c r="F234" s="92"/>
      <c r="G234" s="92"/>
      <c r="H234" s="92"/>
    </row>
    <row r="235" spans="1:9" ht="14.25" customHeight="1"/>
    <row r="236" spans="1:9" ht="14.25" customHeight="1">
      <c r="A236" s="393" t="s">
        <v>513</v>
      </c>
      <c r="B236" s="360"/>
      <c r="C236" s="360"/>
      <c r="D236" s="360"/>
      <c r="E236" s="360"/>
      <c r="F236" s="360"/>
      <c r="G236" s="360"/>
      <c r="H236" s="360"/>
      <c r="I236" s="360"/>
    </row>
    <row r="237" spans="1:9" ht="14.25" customHeight="1">
      <c r="A237" s="359" t="s">
        <v>514</v>
      </c>
      <c r="B237" s="360"/>
      <c r="C237" s="360"/>
      <c r="D237" s="360"/>
      <c r="E237" s="360"/>
      <c r="F237" s="360"/>
      <c r="G237" s="360"/>
      <c r="H237" s="360"/>
    </row>
    <row r="238" spans="1:9" ht="14.25" customHeight="1">
      <c r="A238" s="92"/>
      <c r="B238" s="92"/>
      <c r="C238" s="92"/>
      <c r="D238" s="92"/>
      <c r="E238" s="92"/>
      <c r="F238" s="92"/>
      <c r="G238" s="92"/>
      <c r="H238" s="92"/>
    </row>
    <row r="239" spans="1:9" ht="14.25" customHeight="1">
      <c r="A239" s="253" t="s">
        <v>201</v>
      </c>
      <c r="B239" s="253" t="s">
        <v>204</v>
      </c>
      <c r="C239" s="253" t="s">
        <v>205</v>
      </c>
      <c r="D239" s="253" t="s">
        <v>206</v>
      </c>
      <c r="E239" s="253" t="s">
        <v>207</v>
      </c>
      <c r="F239" s="253" t="s">
        <v>208</v>
      </c>
      <c r="G239" s="253" t="s">
        <v>209</v>
      </c>
      <c r="H239" s="253" t="s">
        <v>210</v>
      </c>
    </row>
    <row r="240" spans="1:9" ht="14.25" customHeight="1">
      <c r="A240" s="254"/>
      <c r="B240" s="255"/>
      <c r="C240" s="255"/>
      <c r="D240" s="255"/>
      <c r="E240" s="255"/>
      <c r="F240" s="255"/>
      <c r="G240" s="255"/>
      <c r="H240" s="255"/>
    </row>
    <row r="241" spans="1:9" ht="14.25" customHeight="1">
      <c r="A241" s="98" t="s">
        <v>515</v>
      </c>
      <c r="B241" s="97" t="e">
        <f t="shared" ref="B241:H241" si="45">B51</f>
        <v>#REF!</v>
      </c>
      <c r="C241" s="97" t="e">
        <f t="shared" si="45"/>
        <v>#REF!</v>
      </c>
      <c r="D241" s="97" t="e">
        <f t="shared" si="45"/>
        <v>#REF!</v>
      </c>
      <c r="E241" s="97" t="e">
        <f t="shared" si="45"/>
        <v>#REF!</v>
      </c>
      <c r="F241" s="97" t="e">
        <f t="shared" si="45"/>
        <v>#REF!</v>
      </c>
      <c r="G241" s="97" t="e">
        <f t="shared" si="45"/>
        <v>#REF!</v>
      </c>
      <c r="H241" s="97" t="e">
        <f t="shared" si="45"/>
        <v>#REF!</v>
      </c>
    </row>
    <row r="242" spans="1:9" ht="14.25" customHeight="1">
      <c r="A242" s="56"/>
      <c r="B242" s="56"/>
      <c r="C242" s="56"/>
      <c r="D242" s="56"/>
      <c r="E242" s="56"/>
      <c r="F242" s="56"/>
      <c r="G242" s="56"/>
      <c r="H242" s="56"/>
    </row>
    <row r="243" spans="1:9" ht="14.25" customHeight="1">
      <c r="A243" s="98" t="s">
        <v>516</v>
      </c>
      <c r="B243" s="403" t="e">
        <f>AVERAGE(B241:H241)</f>
        <v>#REF!</v>
      </c>
      <c r="C243" s="347"/>
      <c r="D243" s="347"/>
      <c r="E243" s="347"/>
      <c r="F243" s="347"/>
      <c r="G243" s="347"/>
      <c r="H243" s="348"/>
    </row>
    <row r="244" spans="1:9" ht="14.25" customHeight="1">
      <c r="A244" s="98" t="s">
        <v>517</v>
      </c>
      <c r="B244" s="403" t="e">
        <f>B232</f>
        <v>#REF!</v>
      </c>
      <c r="C244" s="347"/>
      <c r="D244" s="347"/>
      <c r="E244" s="347"/>
      <c r="F244" s="347"/>
      <c r="G244" s="347"/>
      <c r="H244" s="348"/>
    </row>
    <row r="245" spans="1:9" ht="14.25" customHeight="1">
      <c r="A245" s="56"/>
      <c r="B245" s="56"/>
      <c r="C245" s="56"/>
      <c r="D245" s="56"/>
      <c r="E245" s="56"/>
      <c r="F245" s="56"/>
      <c r="G245" s="56"/>
      <c r="H245" s="56"/>
    </row>
    <row r="246" spans="1:9" ht="14.25" customHeight="1">
      <c r="A246" s="256" t="s">
        <v>518</v>
      </c>
      <c r="B246" s="404" t="e">
        <f>B243/B244</f>
        <v>#REF!</v>
      </c>
      <c r="C246" s="347"/>
      <c r="D246" s="347"/>
      <c r="E246" s="347"/>
      <c r="F246" s="347"/>
      <c r="G246" s="347"/>
      <c r="H246" s="348"/>
    </row>
    <row r="247" spans="1:9" ht="14.25" customHeight="1"/>
    <row r="248" spans="1:9" ht="14.25" customHeight="1"/>
    <row r="249" spans="1:9" ht="14.25" customHeight="1">
      <c r="A249" s="402" t="s">
        <v>519</v>
      </c>
      <c r="B249" s="360"/>
      <c r="C249" s="360"/>
      <c r="D249" s="360"/>
      <c r="E249" s="360"/>
      <c r="F249" s="360"/>
      <c r="G249" s="360"/>
      <c r="H249" s="360"/>
    </row>
    <row r="250" spans="1:9" ht="14.25" customHeight="1"/>
    <row r="251" spans="1:9" ht="14.25" customHeight="1">
      <c r="A251" s="359" t="s">
        <v>520</v>
      </c>
      <c r="B251" s="360"/>
      <c r="C251" s="360"/>
      <c r="D251" s="360"/>
      <c r="E251" s="360"/>
      <c r="F251" s="360"/>
      <c r="G251" s="360"/>
      <c r="H251" s="360"/>
      <c r="I251" s="360"/>
    </row>
    <row r="252" spans="1:9" ht="14.25" customHeight="1"/>
    <row r="253" spans="1:9" ht="14.25" customHeight="1">
      <c r="A253" s="244" t="s">
        <v>201</v>
      </c>
      <c r="B253" s="244" t="s">
        <v>483</v>
      </c>
      <c r="C253" s="244" t="s">
        <v>204</v>
      </c>
      <c r="D253" s="244" t="s">
        <v>205</v>
      </c>
      <c r="E253" s="244" t="s">
        <v>206</v>
      </c>
      <c r="F253" s="244" t="s">
        <v>207</v>
      </c>
      <c r="G253" s="244" t="s">
        <v>208</v>
      </c>
      <c r="H253" s="244" t="s">
        <v>209</v>
      </c>
      <c r="I253" s="244" t="s">
        <v>210</v>
      </c>
    </row>
    <row r="254" spans="1:9" ht="14.25" customHeight="1">
      <c r="A254" s="257"/>
      <c r="B254" s="257"/>
      <c r="C254" s="258"/>
      <c r="D254" s="258"/>
      <c r="E254" s="258"/>
      <c r="F254" s="258"/>
      <c r="G254" s="258"/>
      <c r="H254" s="258"/>
      <c r="I254" s="258"/>
    </row>
    <row r="255" spans="1:9" ht="14.25" customHeight="1">
      <c r="A255" s="64" t="s">
        <v>521</v>
      </c>
      <c r="B255" s="259" t="e">
        <f>B244</f>
        <v>#REF!</v>
      </c>
      <c r="C255" s="258"/>
      <c r="D255" s="258"/>
      <c r="E255" s="258"/>
      <c r="F255" s="258"/>
      <c r="G255" s="258"/>
      <c r="H255" s="258"/>
      <c r="I255" s="258"/>
    </row>
    <row r="256" spans="1:9" ht="14.25" customHeight="1">
      <c r="A256" s="64" t="str">
        <f>A219</f>
        <v>Profit after Tax &amp; Dividend</v>
      </c>
      <c r="B256" s="64"/>
      <c r="C256" s="144" t="e">
        <f t="shared" ref="C256:I256" si="46">B51</f>
        <v>#REF!</v>
      </c>
      <c r="D256" s="144" t="e">
        <f t="shared" si="46"/>
        <v>#REF!</v>
      </c>
      <c r="E256" s="144" t="e">
        <f t="shared" si="46"/>
        <v>#REF!</v>
      </c>
      <c r="F256" s="144" t="e">
        <f t="shared" si="46"/>
        <v>#REF!</v>
      </c>
      <c r="G256" s="144" t="e">
        <f t="shared" si="46"/>
        <v>#REF!</v>
      </c>
      <c r="H256" s="144" t="e">
        <f t="shared" si="46"/>
        <v>#REF!</v>
      </c>
      <c r="I256" s="144" t="e">
        <f t="shared" si="46"/>
        <v>#REF!</v>
      </c>
    </row>
    <row r="257" spans="1:9" ht="14.25" customHeight="1">
      <c r="A257" s="64" t="str">
        <f t="shared" ref="A257:A258" si="47">A221</f>
        <v>Add: Deprication</v>
      </c>
      <c r="B257" s="64"/>
      <c r="C257" s="144">
        <f t="shared" ref="C257:I257" si="48">B42</f>
        <v>1252517.731892</v>
      </c>
      <c r="D257" s="144">
        <f t="shared" si="48"/>
        <v>1252517.731892</v>
      </c>
      <c r="E257" s="144">
        <f t="shared" si="48"/>
        <v>1252517.731892</v>
      </c>
      <c r="F257" s="144">
        <f t="shared" si="48"/>
        <v>1252517.731892</v>
      </c>
      <c r="G257" s="144">
        <f t="shared" si="48"/>
        <v>1252517.731892</v>
      </c>
      <c r="H257" s="144">
        <f t="shared" si="48"/>
        <v>1252517.731892</v>
      </c>
      <c r="I257" s="144">
        <f t="shared" si="48"/>
        <v>1252517.731892</v>
      </c>
    </row>
    <row r="258" spans="1:9" ht="14.25" customHeight="1">
      <c r="A258" s="64" t="str">
        <f t="shared" si="47"/>
        <v>Add. Preliminary exp Written off</v>
      </c>
      <c r="B258" s="64"/>
      <c r="C258" s="144">
        <f t="shared" ref="C258:I258" si="49">B43</f>
        <v>27000</v>
      </c>
      <c r="D258" s="144">
        <f t="shared" si="49"/>
        <v>27000</v>
      </c>
      <c r="E258" s="144">
        <f t="shared" si="49"/>
        <v>27000</v>
      </c>
      <c r="F258" s="144">
        <f t="shared" si="49"/>
        <v>27000</v>
      </c>
      <c r="G258" s="144">
        <f t="shared" si="49"/>
        <v>27000</v>
      </c>
      <c r="H258" s="144">
        <f t="shared" si="49"/>
        <v>0</v>
      </c>
      <c r="I258" s="144">
        <f t="shared" si="49"/>
        <v>0</v>
      </c>
    </row>
    <row r="259" spans="1:9" ht="14.25" customHeight="1">
      <c r="A259" s="64" t="str">
        <f>A224</f>
        <v xml:space="preserve">Net Cash Accrual (A)      </v>
      </c>
      <c r="B259" s="64"/>
      <c r="C259" s="144" t="e">
        <f t="shared" ref="C259:I259" si="50">SUM(C256:C258)</f>
        <v>#REF!</v>
      </c>
      <c r="D259" s="144" t="e">
        <f t="shared" si="50"/>
        <v>#REF!</v>
      </c>
      <c r="E259" s="144" t="e">
        <f t="shared" si="50"/>
        <v>#REF!</v>
      </c>
      <c r="F259" s="144" t="e">
        <f t="shared" si="50"/>
        <v>#REF!</v>
      </c>
      <c r="G259" s="144" t="e">
        <f t="shared" si="50"/>
        <v>#REF!</v>
      </c>
      <c r="H259" s="144" t="e">
        <f t="shared" si="50"/>
        <v>#REF!</v>
      </c>
      <c r="I259" s="144" t="e">
        <f t="shared" si="50"/>
        <v>#REF!</v>
      </c>
    </row>
    <row r="260" spans="1:9" ht="14.25" customHeight="1">
      <c r="A260" s="64" t="s">
        <v>522</v>
      </c>
      <c r="B260" s="260"/>
      <c r="C260" s="261" t="e">
        <f>C259-B255</f>
        <v>#REF!</v>
      </c>
      <c r="D260" s="261" t="e">
        <f t="shared" ref="D260:I260" si="51">C260+D259</f>
        <v>#REF!</v>
      </c>
      <c r="E260" s="261" t="e">
        <f t="shared" si="51"/>
        <v>#REF!</v>
      </c>
      <c r="F260" s="261" t="e">
        <f t="shared" si="51"/>
        <v>#REF!</v>
      </c>
      <c r="G260" s="261" t="e">
        <f t="shared" si="51"/>
        <v>#REF!</v>
      </c>
      <c r="H260" s="261" t="e">
        <f t="shared" si="51"/>
        <v>#REF!</v>
      </c>
      <c r="I260" s="261" t="e">
        <f t="shared" si="51"/>
        <v>#REF!</v>
      </c>
    </row>
    <row r="261" spans="1:9" ht="14.25" customHeight="1"/>
    <row r="262" spans="1:9" ht="14.25" customHeight="1">
      <c r="A262" s="100" t="s">
        <v>523</v>
      </c>
      <c r="C262" s="262" t="e">
        <f>4+(-F260/G259)</f>
        <v>#REF!</v>
      </c>
    </row>
    <row r="263" spans="1:9" ht="14.25" customHeight="1"/>
    <row r="264" spans="1:9" ht="14.25" customHeight="1">
      <c r="A264" s="402" t="s">
        <v>524</v>
      </c>
      <c r="B264" s="360"/>
      <c r="C264" s="360"/>
      <c r="D264" s="360"/>
      <c r="E264" s="360"/>
      <c r="F264" s="360"/>
      <c r="G264" s="360"/>
      <c r="H264" s="360"/>
      <c r="I264" s="360"/>
    </row>
    <row r="265" spans="1:9" ht="14.25" customHeight="1"/>
    <row r="266" spans="1:9" ht="14.25" customHeight="1">
      <c r="A266" s="359" t="s">
        <v>525</v>
      </c>
      <c r="B266" s="360"/>
      <c r="C266" s="360"/>
      <c r="D266" s="360"/>
      <c r="E266" s="360"/>
      <c r="F266" s="360"/>
      <c r="G266" s="360"/>
      <c r="H266" s="360"/>
    </row>
    <row r="267" spans="1:9" ht="14.25" customHeight="1"/>
    <row r="268" spans="1:9" ht="14.25" customHeight="1">
      <c r="A268" s="253" t="s">
        <v>201</v>
      </c>
      <c r="B268" s="253" t="s">
        <v>204</v>
      </c>
      <c r="C268" s="253" t="s">
        <v>205</v>
      </c>
      <c r="D268" s="253" t="s">
        <v>206</v>
      </c>
      <c r="E268" s="253" t="s">
        <v>207</v>
      </c>
      <c r="F268" s="253" t="s">
        <v>208</v>
      </c>
      <c r="G268" s="253" t="s">
        <v>209</v>
      </c>
      <c r="H268" s="253" t="s">
        <v>210</v>
      </c>
    </row>
    <row r="269" spans="1:9" ht="14.25" customHeight="1">
      <c r="A269" s="254"/>
      <c r="B269" s="255"/>
      <c r="C269" s="255"/>
      <c r="D269" s="255"/>
      <c r="E269" s="255"/>
      <c r="F269" s="255"/>
      <c r="G269" s="255"/>
      <c r="H269" s="255"/>
    </row>
    <row r="270" spans="1:9" ht="14.25" customHeight="1">
      <c r="A270" s="56" t="s">
        <v>526</v>
      </c>
      <c r="B270" s="97">
        <f t="shared" ref="B270:H270" si="52">B40</f>
        <v>3890469.5511804447</v>
      </c>
      <c r="C270" s="97">
        <f t="shared" si="52"/>
        <v>5970143.0588472858</v>
      </c>
      <c r="D270" s="97">
        <f t="shared" si="52"/>
        <v>7306207.2785984874</v>
      </c>
      <c r="E270" s="97">
        <f t="shared" si="52"/>
        <v>8760952.5626776665</v>
      </c>
      <c r="F270" s="97">
        <f t="shared" si="52"/>
        <v>10342906.856968269</v>
      </c>
      <c r="G270" s="97">
        <f t="shared" si="52"/>
        <v>11969261.926781237</v>
      </c>
      <c r="H270" s="97">
        <f t="shared" si="52"/>
        <v>13732395.236433074</v>
      </c>
    </row>
    <row r="271" spans="1:9" ht="14.25" customHeight="1">
      <c r="A271" s="56" t="s">
        <v>795</v>
      </c>
      <c r="B271" s="97">
        <f t="shared" ref="B271:H271" si="53">B42</f>
        <v>1252517.731892</v>
      </c>
      <c r="C271" s="97">
        <f t="shared" si="53"/>
        <v>1252517.731892</v>
      </c>
      <c r="D271" s="97">
        <f t="shared" si="53"/>
        <v>1252517.731892</v>
      </c>
      <c r="E271" s="97">
        <f t="shared" si="53"/>
        <v>1252517.731892</v>
      </c>
      <c r="F271" s="97">
        <f t="shared" si="53"/>
        <v>1252517.731892</v>
      </c>
      <c r="G271" s="97">
        <f t="shared" si="53"/>
        <v>1252517.731892</v>
      </c>
      <c r="H271" s="97">
        <f t="shared" si="53"/>
        <v>1252517.731892</v>
      </c>
    </row>
    <row r="272" spans="1:9" ht="14.25" customHeight="1">
      <c r="A272" s="56" t="s">
        <v>796</v>
      </c>
      <c r="B272" s="97">
        <f t="shared" ref="B272:H272" si="54">B43</f>
        <v>27000</v>
      </c>
      <c r="C272" s="97">
        <f t="shared" si="54"/>
        <v>27000</v>
      </c>
      <c r="D272" s="97">
        <f t="shared" si="54"/>
        <v>27000</v>
      </c>
      <c r="E272" s="97">
        <f t="shared" si="54"/>
        <v>27000</v>
      </c>
      <c r="F272" s="97">
        <f t="shared" si="54"/>
        <v>27000</v>
      </c>
      <c r="G272" s="97">
        <f t="shared" si="54"/>
        <v>0</v>
      </c>
      <c r="H272" s="97">
        <f t="shared" si="54"/>
        <v>0</v>
      </c>
    </row>
    <row r="273" spans="1:9" ht="14.25" customHeight="1">
      <c r="A273" s="56" t="s">
        <v>797</v>
      </c>
      <c r="B273" s="97" t="e">
        <f>SUM(D76:D87)</f>
        <v>#REF!</v>
      </c>
      <c r="C273" s="97" t="e">
        <f>SUM(D88:D99)</f>
        <v>#REF!</v>
      </c>
      <c r="D273" s="97" t="e">
        <f>SUM(D100:D111)</f>
        <v>#REF!</v>
      </c>
      <c r="E273" s="97" t="e">
        <f>SUM(D112:D123)</f>
        <v>#REF!</v>
      </c>
      <c r="F273" s="97" t="e">
        <f>SUM(D124:D135)</f>
        <v>#REF!</v>
      </c>
      <c r="G273" s="97" t="e">
        <f>SUM(D136:D147)</f>
        <v>#REF!</v>
      </c>
      <c r="H273" s="97" t="e">
        <f>SUM(D148:D159)</f>
        <v>#REF!</v>
      </c>
    </row>
    <row r="274" spans="1:9" ht="14.25" customHeight="1">
      <c r="A274" s="98" t="s">
        <v>87</v>
      </c>
      <c r="B274" s="99" t="e">
        <f t="shared" ref="B274:H274" si="55">SUM(B270:B273)</f>
        <v>#REF!</v>
      </c>
      <c r="C274" s="99" t="e">
        <f t="shared" si="55"/>
        <v>#REF!</v>
      </c>
      <c r="D274" s="99" t="e">
        <f t="shared" si="55"/>
        <v>#REF!</v>
      </c>
      <c r="E274" s="99" t="e">
        <f t="shared" si="55"/>
        <v>#REF!</v>
      </c>
      <c r="F274" s="99" t="e">
        <f t="shared" si="55"/>
        <v>#REF!</v>
      </c>
      <c r="G274" s="99" t="e">
        <f t="shared" si="55"/>
        <v>#REF!</v>
      </c>
      <c r="H274" s="99" t="e">
        <f t="shared" si="55"/>
        <v>#REF!</v>
      </c>
    </row>
    <row r="275" spans="1:9" ht="14.25" customHeight="1">
      <c r="A275" s="56"/>
      <c r="B275" s="56"/>
      <c r="C275" s="56"/>
      <c r="D275" s="56"/>
      <c r="E275" s="56"/>
      <c r="F275" s="56"/>
      <c r="G275" s="56"/>
      <c r="H275" s="56"/>
    </row>
    <row r="276" spans="1:9" ht="14.25" customHeight="1">
      <c r="A276" s="56" t="s">
        <v>527</v>
      </c>
      <c r="B276" s="99" t="e">
        <f>SUM(F76:F87)</f>
        <v>#REF!</v>
      </c>
      <c r="C276" s="99" t="e">
        <f>SUM(F88:F99)</f>
        <v>#REF!</v>
      </c>
      <c r="D276" s="99" t="e">
        <f>SUM(F100:F111)</f>
        <v>#REF!</v>
      </c>
      <c r="E276" s="99" t="e">
        <f>SUM(F112:F123)</f>
        <v>#REF!</v>
      </c>
      <c r="F276" s="99" t="e">
        <f>SUM(F124:F135)</f>
        <v>#REF!</v>
      </c>
      <c r="G276" s="99" t="e">
        <f>SUM(F136:F147)</f>
        <v>#REF!</v>
      </c>
      <c r="H276" s="99" t="e">
        <f>SUM(F148:F159)</f>
        <v>#REF!</v>
      </c>
    </row>
    <row r="277" spans="1:9" ht="14.25" customHeight="1">
      <c r="A277" s="56"/>
      <c r="B277" s="56"/>
      <c r="C277" s="56"/>
      <c r="D277" s="56"/>
      <c r="E277" s="56"/>
      <c r="F277" s="56"/>
      <c r="G277" s="56"/>
      <c r="H277" s="56"/>
    </row>
    <row r="278" spans="1:9" ht="14.25" customHeight="1">
      <c r="A278" s="98" t="s">
        <v>528</v>
      </c>
      <c r="B278" s="263" t="e">
        <f t="shared" ref="B278:H278" si="56">B274/B276</f>
        <v>#REF!</v>
      </c>
      <c r="C278" s="263" t="e">
        <f t="shared" si="56"/>
        <v>#REF!</v>
      </c>
      <c r="D278" s="263" t="e">
        <f t="shared" si="56"/>
        <v>#REF!</v>
      </c>
      <c r="E278" s="263" t="e">
        <f t="shared" si="56"/>
        <v>#REF!</v>
      </c>
      <c r="F278" s="263" t="e">
        <f t="shared" si="56"/>
        <v>#REF!</v>
      </c>
      <c r="G278" s="263" t="e">
        <f t="shared" si="56"/>
        <v>#REF!</v>
      </c>
      <c r="H278" s="263" t="e">
        <f t="shared" si="56"/>
        <v>#REF!</v>
      </c>
    </row>
    <row r="279" spans="1:9" ht="14.25" customHeight="1">
      <c r="A279" s="92"/>
      <c r="B279" s="92"/>
      <c r="C279" s="92"/>
      <c r="D279" s="92"/>
      <c r="E279" s="92"/>
      <c r="F279" s="92"/>
      <c r="G279" s="92"/>
      <c r="H279" s="92"/>
    </row>
    <row r="280" spans="1:9" ht="14.25" customHeight="1">
      <c r="A280" s="246" t="s">
        <v>529</v>
      </c>
      <c r="B280" s="332" t="e">
        <f>AVERAGE(B278:H278)</f>
        <v>#REF!</v>
      </c>
      <c r="C280" s="92"/>
      <c r="D280" s="92"/>
      <c r="E280" s="92"/>
      <c r="F280" s="92"/>
      <c r="G280" s="92"/>
      <c r="H280" s="92"/>
    </row>
    <row r="281" spans="1:9" ht="14.25" customHeight="1"/>
    <row r="282" spans="1:9" ht="14.25" customHeight="1">
      <c r="A282" s="393" t="s">
        <v>530</v>
      </c>
      <c r="B282" s="360"/>
      <c r="C282" s="360"/>
      <c r="D282" s="360"/>
      <c r="E282" s="360"/>
      <c r="F282" s="360"/>
      <c r="G282" s="360"/>
      <c r="H282" s="360"/>
      <c r="I282" s="360"/>
    </row>
  </sheetData>
  <mergeCells count="21">
    <mergeCell ref="C181:I181"/>
    <mergeCell ref="A215:H215"/>
    <mergeCell ref="A2:H2"/>
    <mergeCell ref="A54:H54"/>
    <mergeCell ref="A66:H66"/>
    <mergeCell ref="A68:G68"/>
    <mergeCell ref="A166:I166"/>
    <mergeCell ref="B243:H243"/>
    <mergeCell ref="B244:H244"/>
    <mergeCell ref="B246:H246"/>
    <mergeCell ref="A236:I236"/>
    <mergeCell ref="C183:I183"/>
    <mergeCell ref="A185:I185"/>
    <mergeCell ref="A187:H187"/>
    <mergeCell ref="A212:I212"/>
    <mergeCell ref="A237:H237"/>
    <mergeCell ref="A249:H249"/>
    <mergeCell ref="A251:I251"/>
    <mergeCell ref="A264:I264"/>
    <mergeCell ref="A266:H266"/>
    <mergeCell ref="A282:I282"/>
  </mergeCells>
  <hyperlinks>
    <hyperlink ref="A185" r:id="rId1" xr:uid="{00000000-0004-0000-1300-000000000000}"/>
  </hyperlink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H1:L100"/>
  <sheetViews>
    <sheetView workbookViewId="0"/>
  </sheetViews>
  <sheetFormatPr defaultColWidth="14.42578125" defaultRowHeight="15" customHeight="1"/>
  <cols>
    <col min="1" max="8" width="8.7109375" customWidth="1"/>
    <col min="9" max="9" width="10.28515625" customWidth="1"/>
    <col min="10" max="10" width="10.5703125" customWidth="1"/>
    <col min="11" max="11" width="8.7109375" customWidth="1"/>
    <col min="12" max="12" width="10.85546875" customWidth="1"/>
  </cols>
  <sheetData>
    <row r="1" spans="8:12" ht="14.25" customHeight="1"/>
    <row r="2" spans="8:12" ht="14.25" customHeight="1"/>
    <row r="3" spans="8:12" ht="14.25" customHeight="1"/>
    <row r="4" spans="8:12" ht="14.25" customHeight="1"/>
    <row r="5" spans="8:12" ht="14.25" customHeight="1"/>
    <row r="6" spans="8:12" ht="14.25" customHeight="1">
      <c r="H6" t="s">
        <v>798</v>
      </c>
      <c r="I6" t="s">
        <v>799</v>
      </c>
      <c r="J6" t="s">
        <v>800</v>
      </c>
      <c r="K6" t="s">
        <v>87</v>
      </c>
      <c r="L6" t="s">
        <v>536</v>
      </c>
    </row>
    <row r="7" spans="8:12" ht="14.25" customHeight="1">
      <c r="H7" t="s">
        <v>563</v>
      </c>
      <c r="I7">
        <v>500</v>
      </c>
      <c r="J7">
        <f>5</f>
        <v>5</v>
      </c>
      <c r="K7">
        <f t="shared" ref="K7:K8" si="0">I7*J7</f>
        <v>2500</v>
      </c>
      <c r="L7">
        <v>30000</v>
      </c>
    </row>
    <row r="8" spans="8:12" ht="14.25" customHeight="1">
      <c r="H8" t="s">
        <v>574</v>
      </c>
      <c r="I8">
        <v>1500</v>
      </c>
      <c r="J8" t="s">
        <v>801</v>
      </c>
      <c r="K8" t="e">
        <f t="shared" si="0"/>
        <v>#VALUE!</v>
      </c>
      <c r="L8">
        <v>50000</v>
      </c>
    </row>
    <row r="9" spans="8:12" ht="14.25" customHeight="1"/>
    <row r="10" spans="8:12" ht="14.25" customHeight="1"/>
    <row r="11" spans="8:12" ht="14.25" customHeight="1"/>
    <row r="12" spans="8:12" ht="14.25" customHeight="1"/>
    <row r="13" spans="8:12" ht="14.25" customHeight="1"/>
    <row r="14" spans="8:12" ht="14.25" customHeight="1"/>
    <row r="15" spans="8:12" ht="14.25" customHeight="1"/>
    <row r="16" spans="8: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K100"/>
  <sheetViews>
    <sheetView workbookViewId="0"/>
  </sheetViews>
  <sheetFormatPr defaultColWidth="14.42578125" defaultRowHeight="15" customHeight="1"/>
  <cols>
    <col min="1" max="1" width="55.7109375" customWidth="1"/>
    <col min="2" max="2" width="13.7109375" customWidth="1"/>
    <col min="3" max="4" width="11.140625" customWidth="1"/>
    <col min="5" max="5" width="10.42578125" hidden="1" customWidth="1"/>
    <col min="6" max="6" width="10.28515625" hidden="1" customWidth="1"/>
    <col min="7" max="11" width="9.140625" customWidth="1"/>
  </cols>
  <sheetData>
    <row r="1" spans="1:11" ht="15" customHeight="1">
      <c r="A1" s="420" t="s">
        <v>802</v>
      </c>
      <c r="B1" s="347"/>
      <c r="C1" s="347"/>
      <c r="D1" s="421"/>
      <c r="E1" s="333"/>
      <c r="F1" s="333"/>
      <c r="G1" s="334"/>
      <c r="H1" s="334"/>
      <c r="I1" s="334"/>
      <c r="J1" s="334"/>
      <c r="K1" s="334"/>
    </row>
    <row r="2" spans="1:11" ht="14.25" customHeight="1">
      <c r="A2" s="335"/>
      <c r="B2" s="336" t="s">
        <v>563</v>
      </c>
      <c r="C2" s="336" t="s">
        <v>574</v>
      </c>
      <c r="D2" s="336" t="s">
        <v>87</v>
      </c>
      <c r="E2" s="337"/>
      <c r="F2" s="337"/>
      <c r="G2" s="334"/>
      <c r="H2" s="334"/>
      <c r="I2" s="334"/>
      <c r="J2" s="334"/>
      <c r="K2" s="334"/>
    </row>
    <row r="3" spans="1:11" ht="14.25" customHeight="1">
      <c r="A3" s="335" t="s">
        <v>803</v>
      </c>
      <c r="B3" s="338">
        <v>1</v>
      </c>
      <c r="C3" s="338">
        <v>1</v>
      </c>
      <c r="D3" s="338">
        <f>B3+C3</f>
        <v>2</v>
      </c>
      <c r="E3" s="339"/>
      <c r="F3" s="339"/>
      <c r="G3" s="334"/>
      <c r="H3" s="334"/>
      <c r="I3" s="334"/>
      <c r="J3" s="334"/>
      <c r="K3" s="334"/>
    </row>
    <row r="4" spans="1:11" ht="14.25" customHeight="1">
      <c r="A4" s="340"/>
      <c r="B4" s="339"/>
      <c r="C4" s="339"/>
      <c r="D4" s="339"/>
      <c r="E4" s="339"/>
      <c r="F4" s="339"/>
      <c r="G4" s="334"/>
      <c r="H4" s="334"/>
      <c r="I4" s="334"/>
      <c r="J4" s="334"/>
      <c r="K4" s="334"/>
    </row>
    <row r="5" spans="1:11" ht="14.25" customHeight="1">
      <c r="A5" s="335" t="s">
        <v>804</v>
      </c>
      <c r="B5" s="339"/>
      <c r="C5" s="339"/>
      <c r="D5" s="339"/>
      <c r="E5" s="339"/>
      <c r="F5" s="339"/>
      <c r="G5" s="334"/>
      <c r="H5" s="334"/>
      <c r="I5" s="334"/>
      <c r="J5" s="334"/>
      <c r="K5" s="334"/>
    </row>
    <row r="6" spans="1:11" ht="14.25" customHeight="1">
      <c r="A6" s="340" t="s">
        <v>805</v>
      </c>
      <c r="B6" s="341">
        <v>5</v>
      </c>
      <c r="C6" s="341">
        <v>15</v>
      </c>
      <c r="D6" s="339"/>
      <c r="E6" s="339"/>
      <c r="F6" s="339"/>
      <c r="G6" s="334"/>
      <c r="H6" s="334"/>
      <c r="I6" s="334"/>
      <c r="J6" s="334"/>
      <c r="K6" s="334"/>
    </row>
    <row r="7" spans="1:11" ht="14.25" customHeight="1">
      <c r="A7" s="340" t="s">
        <v>806</v>
      </c>
      <c r="B7" s="339">
        <f t="shared" ref="B7:D7" si="0">B3*B6</f>
        <v>5</v>
      </c>
      <c r="C7" s="339">
        <f t="shared" si="0"/>
        <v>15</v>
      </c>
      <c r="D7" s="339">
        <f t="shared" si="0"/>
        <v>0</v>
      </c>
      <c r="E7" s="339"/>
      <c r="F7" s="339"/>
      <c r="G7" s="334"/>
      <c r="H7" s="334"/>
      <c r="I7" s="334"/>
      <c r="J7" s="334"/>
      <c r="K7" s="334"/>
    </row>
    <row r="8" spans="1:11" ht="14.25" customHeight="1">
      <c r="A8" s="340" t="s">
        <v>807</v>
      </c>
      <c r="B8" s="339">
        <f>10*1000</f>
        <v>10000</v>
      </c>
      <c r="C8" s="339">
        <f>14*1000</f>
        <v>14000</v>
      </c>
      <c r="D8" s="339">
        <f>C8*(1+[2]Assumptions!$B$17)</f>
        <v>14000</v>
      </c>
      <c r="E8" s="339"/>
      <c r="F8" s="339"/>
      <c r="G8" s="334"/>
      <c r="H8" s="334"/>
      <c r="I8" s="334"/>
      <c r="J8" s="334"/>
      <c r="K8" s="334"/>
    </row>
    <row r="9" spans="1:11" ht="14.25" customHeight="1">
      <c r="A9" s="340"/>
      <c r="B9" s="342"/>
      <c r="C9" s="342"/>
      <c r="D9" s="342"/>
      <c r="E9" s="339"/>
      <c r="F9" s="339"/>
      <c r="G9" s="334"/>
      <c r="H9" s="334"/>
      <c r="I9" s="334"/>
      <c r="J9" s="334"/>
      <c r="K9" s="334"/>
    </row>
    <row r="10" spans="1:11" ht="14.25" customHeight="1">
      <c r="A10" s="335" t="s">
        <v>808</v>
      </c>
      <c r="B10" s="343">
        <f t="shared" ref="B10:C10" si="1">((B7*B8))</f>
        <v>50000</v>
      </c>
      <c r="C10" s="343">
        <f t="shared" si="1"/>
        <v>210000</v>
      </c>
      <c r="D10" s="343">
        <f>SUM(B10:C10)</f>
        <v>260000</v>
      </c>
      <c r="E10" s="339"/>
      <c r="F10" s="339"/>
      <c r="G10" s="334"/>
      <c r="H10" s="334"/>
      <c r="I10" s="334"/>
      <c r="J10" s="334"/>
      <c r="K10" s="334"/>
    </row>
    <row r="11" spans="1:11" ht="14.25" customHeight="1">
      <c r="A11" s="340"/>
      <c r="B11" s="339"/>
      <c r="C11" s="339"/>
      <c r="D11" s="339"/>
      <c r="E11" s="339"/>
      <c r="F11" s="339"/>
      <c r="G11" s="334"/>
      <c r="H11" s="334"/>
      <c r="I11" s="334"/>
      <c r="J11" s="334"/>
      <c r="K11" s="334"/>
    </row>
    <row r="12" spans="1:11" ht="14.25" customHeight="1">
      <c r="A12" s="335" t="s">
        <v>536</v>
      </c>
      <c r="B12" s="339"/>
      <c r="C12" s="339"/>
      <c r="D12" s="339"/>
      <c r="E12" s="339"/>
      <c r="F12" s="339"/>
      <c r="G12" s="334"/>
      <c r="H12" s="334"/>
      <c r="I12" s="334"/>
      <c r="J12" s="334"/>
      <c r="K12" s="334"/>
    </row>
    <row r="13" spans="1:11" ht="14.25" customHeight="1">
      <c r="A13" s="340" t="s">
        <v>809</v>
      </c>
      <c r="B13" s="339">
        <v>30000</v>
      </c>
      <c r="C13" s="339">
        <v>50000</v>
      </c>
      <c r="D13" s="339"/>
      <c r="E13" s="339"/>
      <c r="F13" s="339"/>
      <c r="G13" s="334"/>
      <c r="H13" s="334"/>
      <c r="I13" s="334"/>
      <c r="J13" s="334"/>
      <c r="K13" s="334"/>
    </row>
    <row r="14" spans="1:11" ht="14.25" customHeight="1">
      <c r="A14" s="340" t="s">
        <v>810</v>
      </c>
      <c r="B14" s="339">
        <f t="shared" ref="B14:C14" si="2">((B7*1000)/50)*20</f>
        <v>2000</v>
      </c>
      <c r="C14" s="339">
        <f t="shared" si="2"/>
        <v>6000</v>
      </c>
      <c r="D14" s="339"/>
      <c r="E14" s="339"/>
      <c r="F14" s="339"/>
      <c r="G14" s="334"/>
      <c r="H14" s="334"/>
      <c r="I14" s="334"/>
      <c r="J14" s="334"/>
      <c r="K14" s="334"/>
    </row>
    <row r="15" spans="1:11" ht="14.25" customHeight="1">
      <c r="A15" s="340" t="s">
        <v>670</v>
      </c>
      <c r="B15" s="339">
        <f t="shared" ref="B15:C15" si="3">(B7*3000)</f>
        <v>15000</v>
      </c>
      <c r="C15" s="339">
        <f t="shared" si="3"/>
        <v>45000</v>
      </c>
      <c r="D15" s="339"/>
      <c r="E15" s="339"/>
      <c r="F15" s="339"/>
      <c r="G15" s="334"/>
      <c r="H15" s="334"/>
      <c r="I15" s="334"/>
      <c r="J15" s="334"/>
      <c r="K15" s="334"/>
    </row>
    <row r="16" spans="1:11" ht="14.25" customHeight="1">
      <c r="A16" s="340" t="s">
        <v>811</v>
      </c>
      <c r="B16" s="339">
        <f t="shared" ref="B16:C16" si="4">SUM(B13:B15)</f>
        <v>47000</v>
      </c>
      <c r="C16" s="339">
        <f t="shared" si="4"/>
        <v>101000</v>
      </c>
      <c r="D16" s="339"/>
      <c r="E16" s="339"/>
      <c r="F16" s="339"/>
      <c r="G16" s="334"/>
      <c r="H16" s="334"/>
      <c r="I16" s="334"/>
      <c r="J16" s="334"/>
      <c r="K16" s="334"/>
    </row>
    <row r="17" spans="1:11" ht="14.25" customHeight="1">
      <c r="A17" s="340"/>
      <c r="B17" s="339"/>
      <c r="C17" s="339"/>
      <c r="D17" s="339"/>
      <c r="E17" s="339"/>
      <c r="F17" s="339"/>
      <c r="G17" s="334"/>
      <c r="H17" s="334"/>
      <c r="I17" s="334"/>
      <c r="J17" s="334"/>
      <c r="K17" s="334"/>
    </row>
    <row r="18" spans="1:11" ht="14.25" customHeight="1">
      <c r="A18" s="335" t="s">
        <v>812</v>
      </c>
      <c r="B18" s="338">
        <f t="shared" ref="B18:C18" si="5">B10-B16</f>
        <v>3000</v>
      </c>
      <c r="C18" s="338">
        <f t="shared" si="5"/>
        <v>109000</v>
      </c>
      <c r="D18" s="336">
        <f>SUM(B18:C18)</f>
        <v>112000</v>
      </c>
      <c r="E18" s="339"/>
      <c r="F18" s="339"/>
      <c r="G18" s="334"/>
      <c r="H18" s="334"/>
      <c r="I18" s="334"/>
      <c r="J18" s="334"/>
      <c r="K18" s="334"/>
    </row>
    <row r="19" spans="1:11" ht="14.25" customHeight="1">
      <c r="A19" s="340"/>
      <c r="B19" s="339"/>
      <c r="C19" s="339"/>
      <c r="D19" s="339"/>
      <c r="E19" s="339"/>
      <c r="F19" s="339"/>
      <c r="G19" s="334"/>
      <c r="H19" s="334"/>
      <c r="I19" s="334"/>
      <c r="J19" s="334"/>
      <c r="K19" s="334"/>
    </row>
    <row r="20" spans="1:11" ht="14.25" customHeight="1">
      <c r="A20" s="335" t="s">
        <v>813</v>
      </c>
      <c r="B20" s="342"/>
      <c r="C20" s="342"/>
      <c r="D20" s="342"/>
      <c r="E20" s="339"/>
      <c r="F20" s="339"/>
      <c r="G20" s="334"/>
      <c r="H20" s="334"/>
      <c r="I20" s="334"/>
      <c r="J20" s="334"/>
      <c r="K20" s="334"/>
    </row>
    <row r="21" spans="1:11" ht="14.25" customHeight="1">
      <c r="A21" s="340" t="str">
        <f t="shared" ref="A21:C21" si="6">A6</f>
        <v>Average current productivity per acre of Maize(in MT)</v>
      </c>
      <c r="B21" s="339">
        <f t="shared" si="6"/>
        <v>5</v>
      </c>
      <c r="C21" s="339">
        <f t="shared" si="6"/>
        <v>15</v>
      </c>
      <c r="D21" s="339">
        <f>C21*(1+[2]Assumptions!$B$17)</f>
        <v>15</v>
      </c>
      <c r="E21" s="344"/>
      <c r="F21" s="344"/>
      <c r="G21" s="334"/>
      <c r="H21" s="334"/>
      <c r="I21" s="334"/>
      <c r="J21" s="334"/>
      <c r="K21" s="334"/>
    </row>
    <row r="22" spans="1:11" ht="14.25" customHeight="1">
      <c r="A22" s="340" t="str">
        <f>A7</f>
        <v>Total Production of Maize (in MT)</v>
      </c>
      <c r="B22" s="339">
        <f t="shared" ref="B22:C22" si="7">B8*1.1</f>
        <v>11000</v>
      </c>
      <c r="C22" s="339">
        <f t="shared" si="7"/>
        <v>15400.000000000002</v>
      </c>
      <c r="D22" s="339">
        <f>C22*(1+[2]Assumptions!$B$17)</f>
        <v>15400.000000000002</v>
      </c>
      <c r="E22" s="344"/>
      <c r="F22" s="344"/>
      <c r="G22" s="334"/>
      <c r="H22" s="334"/>
      <c r="I22" s="334"/>
      <c r="J22" s="334"/>
      <c r="K22" s="334"/>
    </row>
    <row r="23" spans="1:11" ht="14.25" customHeight="1">
      <c r="A23" s="340"/>
      <c r="B23" s="342"/>
      <c r="C23" s="342"/>
      <c r="D23" s="342"/>
      <c r="E23" s="334"/>
      <c r="F23" s="334"/>
      <c r="G23" s="334"/>
      <c r="H23" s="334"/>
      <c r="I23" s="334"/>
      <c r="J23" s="334"/>
      <c r="K23" s="334"/>
    </row>
    <row r="24" spans="1:11" ht="14.25" customHeight="1">
      <c r="A24" s="335" t="s">
        <v>808</v>
      </c>
      <c r="B24" s="336">
        <f t="shared" ref="B24:C24" si="8">B21*B22</f>
        <v>55000</v>
      </c>
      <c r="C24" s="336">
        <f t="shared" si="8"/>
        <v>231000.00000000003</v>
      </c>
      <c r="D24" s="336">
        <f>SUM(B24:C24)</f>
        <v>286000</v>
      </c>
      <c r="E24" s="334"/>
      <c r="F24" s="334"/>
      <c r="G24" s="334"/>
      <c r="H24" s="334"/>
      <c r="I24" s="334"/>
      <c r="J24" s="334"/>
      <c r="K24" s="334"/>
    </row>
    <row r="25" spans="1:11" ht="14.25" customHeight="1">
      <c r="A25" s="340"/>
      <c r="B25" s="342">
        <f t="shared" ref="B25:D25" si="9">+ROUND(B23-B9,2)</f>
        <v>0</v>
      </c>
      <c r="C25" s="342">
        <f t="shared" si="9"/>
        <v>0</v>
      </c>
      <c r="D25" s="342">
        <f t="shared" si="9"/>
        <v>0</v>
      </c>
      <c r="E25" s="334"/>
      <c r="F25" s="334"/>
      <c r="G25" s="334"/>
      <c r="H25" s="334"/>
      <c r="I25" s="334"/>
      <c r="J25" s="334"/>
      <c r="K25" s="334"/>
    </row>
    <row r="26" spans="1:11" ht="14.25" customHeight="1">
      <c r="A26" s="335" t="s">
        <v>536</v>
      </c>
      <c r="B26" s="342"/>
      <c r="C26" s="342"/>
      <c r="D26" s="342"/>
      <c r="E26" s="334"/>
      <c r="F26" s="334"/>
      <c r="G26" s="334"/>
      <c r="H26" s="334"/>
      <c r="I26" s="334"/>
      <c r="J26" s="334"/>
      <c r="K26" s="334"/>
    </row>
    <row r="27" spans="1:11" ht="14.25" customHeight="1">
      <c r="A27" s="340" t="str">
        <f t="shared" ref="A27:C27" si="10">A13</f>
        <v>Cultivation to harvesting expenditure per acres</v>
      </c>
      <c r="B27" s="342">
        <f t="shared" si="10"/>
        <v>30000</v>
      </c>
      <c r="C27" s="342">
        <f t="shared" si="10"/>
        <v>50000</v>
      </c>
      <c r="D27" s="337">
        <f t="shared" ref="D27:D30" si="11">SUM(B27:C27)</f>
        <v>80000</v>
      </c>
      <c r="E27" s="334"/>
      <c r="F27" s="334"/>
      <c r="G27" s="334"/>
      <c r="H27" s="334"/>
      <c r="I27" s="334"/>
      <c r="J27" s="334"/>
      <c r="K27" s="334"/>
    </row>
    <row r="28" spans="1:11" ht="14.25" customHeight="1">
      <c r="A28" s="340" t="str">
        <f t="shared" ref="A28:A29" si="12">A14</f>
        <v>Packaging</v>
      </c>
      <c r="B28" s="342">
        <v>0</v>
      </c>
      <c r="C28" s="342">
        <v>0</v>
      </c>
      <c r="D28" s="337">
        <f t="shared" si="11"/>
        <v>0</v>
      </c>
      <c r="E28" s="334"/>
      <c r="F28" s="334"/>
      <c r="G28" s="334"/>
      <c r="H28" s="334"/>
      <c r="I28" s="334"/>
      <c r="J28" s="334"/>
      <c r="K28" s="334"/>
    </row>
    <row r="29" spans="1:11" ht="14.25" customHeight="1">
      <c r="A29" s="340" t="str">
        <f t="shared" si="12"/>
        <v>Transportation Charges</v>
      </c>
      <c r="B29" s="342">
        <v>0</v>
      </c>
      <c r="C29" s="342">
        <v>0</v>
      </c>
      <c r="D29" s="337">
        <f t="shared" si="11"/>
        <v>0</v>
      </c>
      <c r="E29" s="334"/>
      <c r="F29" s="334"/>
      <c r="G29" s="334"/>
      <c r="H29" s="334"/>
      <c r="I29" s="334"/>
      <c r="J29" s="334"/>
      <c r="K29" s="334"/>
    </row>
    <row r="30" spans="1:11" ht="14.25" customHeight="1">
      <c r="A30" s="340" t="s">
        <v>814</v>
      </c>
      <c r="B30" s="342">
        <f t="shared" ref="B30:C30" si="13">SUM(B27:B29)</f>
        <v>30000</v>
      </c>
      <c r="C30" s="342">
        <f t="shared" si="13"/>
        <v>50000</v>
      </c>
      <c r="D30" s="337">
        <f t="shared" si="11"/>
        <v>80000</v>
      </c>
      <c r="E30" s="334"/>
      <c r="F30" s="334"/>
      <c r="G30" s="334"/>
      <c r="H30" s="334"/>
      <c r="I30" s="334"/>
      <c r="J30" s="334"/>
      <c r="K30" s="334"/>
    </row>
    <row r="31" spans="1:11" ht="14.25" customHeight="1">
      <c r="A31" s="340">
        <f t="shared" ref="A31:A32" si="14">A17</f>
        <v>0</v>
      </c>
      <c r="B31" s="342"/>
      <c r="C31" s="342"/>
      <c r="D31" s="342"/>
      <c r="E31" s="334"/>
      <c r="F31" s="334"/>
      <c r="G31" s="334"/>
      <c r="H31" s="334"/>
      <c r="I31" s="334"/>
      <c r="J31" s="334"/>
      <c r="K31" s="334"/>
    </row>
    <row r="32" spans="1:11" ht="14.25" customHeight="1">
      <c r="A32" s="335" t="str">
        <f t="shared" si="14"/>
        <v>Net Revenue to Farmers</v>
      </c>
      <c r="B32" s="343">
        <f t="shared" ref="B32:C32" si="15">B24-B30</f>
        <v>25000</v>
      </c>
      <c r="C32" s="343">
        <f t="shared" si="15"/>
        <v>181000.00000000003</v>
      </c>
      <c r="D32" s="336">
        <f>SUM(B32:C32)</f>
        <v>206000.00000000003</v>
      </c>
      <c r="E32" s="334"/>
      <c r="F32" s="334"/>
      <c r="G32" s="334"/>
      <c r="H32" s="334"/>
      <c r="I32" s="334"/>
      <c r="J32" s="334"/>
      <c r="K32" s="334"/>
    </row>
    <row r="33" spans="1:11" ht="14.25" customHeight="1">
      <c r="A33" s="340"/>
      <c r="B33" s="342"/>
      <c r="C33" s="342"/>
      <c r="D33" s="342"/>
      <c r="E33" s="334"/>
      <c r="F33" s="334"/>
      <c r="G33" s="334"/>
      <c r="H33" s="334"/>
      <c r="I33" s="334"/>
      <c r="J33" s="334"/>
      <c r="K33" s="334"/>
    </row>
    <row r="34" spans="1:11" ht="14.25" customHeight="1">
      <c r="A34" s="335" t="s">
        <v>815</v>
      </c>
      <c r="B34" s="336">
        <f t="shared" ref="B34:C34" si="16">B32-B18</f>
        <v>22000</v>
      </c>
      <c r="C34" s="336">
        <f t="shared" si="16"/>
        <v>72000.000000000029</v>
      </c>
      <c r="D34" s="336">
        <f>SUM(B34:C34)</f>
        <v>94000.000000000029</v>
      </c>
      <c r="E34" s="334"/>
      <c r="F34" s="334"/>
      <c r="G34" s="334"/>
      <c r="H34" s="334"/>
      <c r="I34" s="334"/>
      <c r="J34" s="334"/>
      <c r="K34" s="334"/>
    </row>
    <row r="35" spans="1:11" ht="14.25" customHeight="1">
      <c r="A35" s="334"/>
      <c r="B35" s="345"/>
      <c r="C35" s="345"/>
      <c r="D35" s="345"/>
      <c r="E35" s="334"/>
      <c r="F35" s="334"/>
      <c r="G35" s="334"/>
      <c r="H35" s="334"/>
      <c r="I35" s="334"/>
      <c r="J35" s="334"/>
      <c r="K35" s="334"/>
    </row>
    <row r="36" spans="1:11" ht="14.25" customHeight="1">
      <c r="A36" s="334"/>
      <c r="B36" s="334"/>
      <c r="C36" s="334"/>
      <c r="D36" s="334"/>
      <c r="E36" s="334"/>
      <c r="F36" s="334"/>
      <c r="G36" s="334"/>
      <c r="H36" s="334"/>
      <c r="I36" s="334"/>
      <c r="J36" s="334"/>
      <c r="K36" s="334"/>
    </row>
    <row r="37" spans="1:11" ht="14.25" customHeight="1">
      <c r="A37" s="334"/>
      <c r="B37" s="334"/>
      <c r="C37" s="334"/>
      <c r="D37" s="334"/>
      <c r="E37" s="334"/>
      <c r="F37" s="334"/>
      <c r="G37" s="334"/>
      <c r="H37" s="334"/>
      <c r="I37" s="334"/>
      <c r="J37" s="334"/>
      <c r="K37" s="334"/>
    </row>
    <row r="38" spans="1:11" ht="14.25" customHeight="1">
      <c r="A38" s="334"/>
      <c r="B38" s="334"/>
      <c r="C38" s="334"/>
      <c r="D38" s="334"/>
      <c r="E38" s="334"/>
      <c r="F38" s="334"/>
      <c r="G38" s="334"/>
      <c r="H38" s="334"/>
      <c r="I38" s="334"/>
      <c r="J38" s="334"/>
      <c r="K38" s="334"/>
    </row>
    <row r="39" spans="1:11" ht="14.25" customHeight="1">
      <c r="A39" s="334"/>
      <c r="B39" s="334"/>
      <c r="C39" s="334"/>
      <c r="D39" s="334"/>
      <c r="E39" s="334"/>
      <c r="F39" s="334"/>
      <c r="G39" s="334"/>
      <c r="H39" s="334"/>
      <c r="I39" s="334"/>
      <c r="J39" s="334"/>
      <c r="K39" s="334"/>
    </row>
    <row r="40" spans="1:11" ht="14.25" customHeight="1">
      <c r="A40" s="334"/>
      <c r="B40" s="334"/>
      <c r="C40" s="334"/>
      <c r="D40" s="334"/>
      <c r="E40" s="334"/>
      <c r="F40" s="334"/>
      <c r="G40" s="334"/>
      <c r="H40" s="334"/>
      <c r="I40" s="334"/>
      <c r="J40" s="334"/>
      <c r="K40" s="334"/>
    </row>
    <row r="41" spans="1:11" ht="14.25" customHeight="1">
      <c r="A41" s="334"/>
      <c r="B41" s="334"/>
      <c r="C41" s="334"/>
      <c r="D41" s="334"/>
      <c r="E41" s="334"/>
      <c r="F41" s="334"/>
      <c r="G41" s="334"/>
      <c r="H41" s="334"/>
      <c r="I41" s="334"/>
      <c r="J41" s="334"/>
      <c r="K41" s="334"/>
    </row>
    <row r="42" spans="1:11" ht="14.25" customHeight="1">
      <c r="A42" s="334"/>
      <c r="B42" s="334"/>
      <c r="C42" s="334"/>
      <c r="D42" s="334"/>
      <c r="E42" s="334"/>
      <c r="F42" s="334"/>
      <c r="G42" s="334"/>
      <c r="H42" s="334"/>
      <c r="I42" s="334"/>
      <c r="J42" s="334"/>
      <c r="K42" s="334"/>
    </row>
    <row r="43" spans="1:11" ht="14.25" customHeight="1">
      <c r="A43" s="334"/>
      <c r="B43" s="334"/>
      <c r="C43" s="334"/>
      <c r="D43" s="334"/>
      <c r="E43" s="334"/>
      <c r="F43" s="334"/>
      <c r="G43" s="334"/>
      <c r="H43" s="334"/>
      <c r="I43" s="334"/>
      <c r="J43" s="334"/>
      <c r="K43" s="334"/>
    </row>
    <row r="44" spans="1:11" ht="14.25" customHeight="1">
      <c r="A44" s="334"/>
      <c r="B44" s="334"/>
      <c r="C44" s="334"/>
      <c r="D44" s="334"/>
      <c r="E44" s="334"/>
      <c r="F44" s="334"/>
      <c r="G44" s="334"/>
      <c r="H44" s="334"/>
      <c r="I44" s="334"/>
      <c r="J44" s="334"/>
      <c r="K44" s="334"/>
    </row>
    <row r="45" spans="1:11" ht="14.25" customHeight="1">
      <c r="A45" s="334"/>
      <c r="B45" s="334"/>
      <c r="C45" s="334"/>
      <c r="D45" s="334"/>
      <c r="E45" s="334"/>
      <c r="F45" s="334"/>
      <c r="G45" s="334"/>
      <c r="H45" s="334"/>
      <c r="I45" s="334"/>
      <c r="J45" s="334"/>
      <c r="K45" s="334"/>
    </row>
    <row r="46" spans="1:11" ht="14.25" customHeight="1">
      <c r="A46" s="334"/>
      <c r="B46" s="334"/>
      <c r="C46" s="334"/>
      <c r="D46" s="334"/>
      <c r="E46" s="334"/>
      <c r="F46" s="334"/>
      <c r="G46" s="334"/>
      <c r="H46" s="334"/>
      <c r="I46" s="334"/>
      <c r="J46" s="334"/>
      <c r="K46" s="334"/>
    </row>
    <row r="47" spans="1:11" ht="14.25" customHeight="1">
      <c r="A47" s="334"/>
      <c r="B47" s="334"/>
      <c r="C47" s="334"/>
      <c r="D47" s="334"/>
      <c r="E47" s="334"/>
      <c r="F47" s="334"/>
      <c r="G47" s="334"/>
      <c r="H47" s="334"/>
      <c r="I47" s="334"/>
      <c r="J47" s="334"/>
      <c r="K47" s="334"/>
    </row>
    <row r="48" spans="1:11" ht="14.25" customHeight="1">
      <c r="A48" s="334"/>
      <c r="B48" s="334"/>
      <c r="C48" s="334"/>
      <c r="D48" s="334"/>
      <c r="E48" s="334"/>
      <c r="F48" s="334"/>
      <c r="G48" s="334"/>
      <c r="H48" s="334"/>
      <c r="I48" s="334"/>
      <c r="J48" s="334"/>
      <c r="K48" s="334"/>
    </row>
    <row r="49" spans="1:11" ht="14.25" customHeight="1">
      <c r="A49" s="334"/>
      <c r="B49" s="334"/>
      <c r="C49" s="334"/>
      <c r="D49" s="334"/>
      <c r="E49" s="334"/>
      <c r="F49" s="334"/>
      <c r="G49" s="334"/>
      <c r="H49" s="334"/>
      <c r="I49" s="334"/>
      <c r="J49" s="334"/>
      <c r="K49" s="334"/>
    </row>
    <row r="50" spans="1:11" ht="14.25" customHeight="1">
      <c r="A50" s="334"/>
      <c r="B50" s="334"/>
      <c r="C50" s="334"/>
      <c r="D50" s="334"/>
      <c r="E50" s="334"/>
      <c r="F50" s="334"/>
      <c r="G50" s="334"/>
      <c r="H50" s="334"/>
      <c r="I50" s="334"/>
      <c r="J50" s="334"/>
      <c r="K50" s="334"/>
    </row>
    <row r="51" spans="1:11" ht="14.25" customHeight="1">
      <c r="A51" s="334"/>
      <c r="B51" s="334"/>
      <c r="C51" s="334"/>
      <c r="D51" s="334"/>
      <c r="E51" s="334"/>
      <c r="F51" s="334"/>
      <c r="G51" s="334"/>
      <c r="H51" s="334"/>
      <c r="I51" s="334"/>
      <c r="J51" s="334"/>
      <c r="K51" s="334"/>
    </row>
    <row r="52" spans="1:11" ht="14.25" customHeight="1">
      <c r="A52" s="334"/>
      <c r="B52" s="334"/>
      <c r="C52" s="334"/>
      <c r="D52" s="334"/>
      <c r="E52" s="334"/>
      <c r="F52" s="334"/>
      <c r="G52" s="334"/>
      <c r="H52" s="334"/>
      <c r="I52" s="334"/>
      <c r="J52" s="334"/>
      <c r="K52" s="334"/>
    </row>
    <row r="53" spans="1:11" ht="14.25" customHeight="1">
      <c r="A53" s="334"/>
      <c r="B53" s="334"/>
      <c r="C53" s="334"/>
      <c r="D53" s="334"/>
      <c r="E53" s="334"/>
      <c r="F53" s="334"/>
      <c r="G53" s="334"/>
      <c r="H53" s="334"/>
      <c r="I53" s="334"/>
      <c r="J53" s="334"/>
      <c r="K53" s="334"/>
    </row>
    <row r="54" spans="1:11" ht="14.25" customHeight="1">
      <c r="A54" s="334"/>
      <c r="B54" s="334"/>
      <c r="C54" s="334"/>
      <c r="D54" s="334"/>
      <c r="E54" s="334"/>
      <c r="F54" s="334"/>
      <c r="G54" s="334"/>
      <c r="H54" s="334"/>
      <c r="I54" s="334"/>
      <c r="J54" s="334"/>
      <c r="K54" s="334"/>
    </row>
    <row r="55" spans="1:11" ht="14.25" customHeight="1">
      <c r="A55" s="334"/>
      <c r="B55" s="334"/>
      <c r="C55" s="334"/>
      <c r="D55" s="334"/>
      <c r="E55" s="334"/>
      <c r="F55" s="334"/>
      <c r="G55" s="334"/>
      <c r="H55" s="334"/>
      <c r="I55" s="334"/>
      <c r="J55" s="334"/>
      <c r="K55" s="334"/>
    </row>
    <row r="56" spans="1:11" ht="14.25" customHeight="1">
      <c r="A56" s="334"/>
      <c r="B56" s="334"/>
      <c r="C56" s="334"/>
      <c r="D56" s="334"/>
      <c r="E56" s="334"/>
      <c r="F56" s="334"/>
      <c r="G56" s="334"/>
      <c r="H56" s="334"/>
      <c r="I56" s="334"/>
      <c r="J56" s="334"/>
      <c r="K56" s="334"/>
    </row>
    <row r="57" spans="1:11" ht="14.25" customHeight="1">
      <c r="A57" s="334"/>
      <c r="B57" s="334"/>
      <c r="C57" s="334"/>
      <c r="D57" s="334"/>
      <c r="E57" s="334"/>
      <c r="F57" s="334"/>
      <c r="G57" s="334"/>
      <c r="H57" s="334"/>
      <c r="I57" s="334"/>
      <c r="J57" s="334"/>
      <c r="K57" s="334"/>
    </row>
    <row r="58" spans="1:11" ht="14.25" customHeight="1">
      <c r="A58" s="334"/>
      <c r="B58" s="334"/>
      <c r="C58" s="334"/>
      <c r="D58" s="334"/>
      <c r="E58" s="334"/>
      <c r="F58" s="334"/>
      <c r="G58" s="334"/>
      <c r="H58" s="334"/>
      <c r="I58" s="334"/>
      <c r="J58" s="334"/>
      <c r="K58" s="334"/>
    </row>
    <row r="59" spans="1:11" ht="14.25" customHeight="1">
      <c r="A59" s="334"/>
      <c r="B59" s="334"/>
      <c r="C59" s="334"/>
      <c r="D59" s="334"/>
      <c r="E59" s="334"/>
      <c r="F59" s="334"/>
      <c r="G59" s="334"/>
      <c r="H59" s="334"/>
      <c r="I59" s="334"/>
      <c r="J59" s="334"/>
      <c r="K59" s="334"/>
    </row>
    <row r="60" spans="1:11" ht="14.25" customHeight="1">
      <c r="A60" s="334"/>
      <c r="B60" s="334"/>
      <c r="C60" s="334"/>
      <c r="D60" s="334"/>
      <c r="E60" s="334"/>
      <c r="F60" s="334"/>
      <c r="G60" s="334"/>
      <c r="H60" s="334"/>
      <c r="I60" s="334"/>
      <c r="J60" s="334"/>
      <c r="K60" s="334"/>
    </row>
    <row r="61" spans="1:11" ht="14.25" customHeight="1">
      <c r="A61" s="334"/>
      <c r="B61" s="334"/>
      <c r="C61" s="334"/>
      <c r="D61" s="334"/>
      <c r="E61" s="334"/>
      <c r="F61" s="334"/>
      <c r="G61" s="334"/>
      <c r="H61" s="334"/>
      <c r="I61" s="334"/>
      <c r="J61" s="334"/>
      <c r="K61" s="334"/>
    </row>
    <row r="62" spans="1:11" ht="14.25" customHeight="1">
      <c r="A62" s="334"/>
      <c r="B62" s="334"/>
      <c r="C62" s="334"/>
      <c r="D62" s="334"/>
      <c r="E62" s="334"/>
      <c r="F62" s="334"/>
      <c r="G62" s="334"/>
      <c r="H62" s="334"/>
      <c r="I62" s="334"/>
      <c r="J62" s="334"/>
      <c r="K62" s="334"/>
    </row>
    <row r="63" spans="1:11" ht="14.25" customHeight="1">
      <c r="A63" s="334"/>
      <c r="B63" s="334"/>
      <c r="C63" s="334"/>
      <c r="D63" s="334"/>
      <c r="E63" s="334"/>
      <c r="F63" s="334"/>
      <c r="G63" s="334"/>
      <c r="H63" s="334"/>
      <c r="I63" s="334"/>
      <c r="J63" s="334"/>
      <c r="K63" s="334"/>
    </row>
    <row r="64" spans="1:11" ht="14.25" customHeight="1">
      <c r="A64" s="334"/>
      <c r="B64" s="334"/>
      <c r="C64" s="334"/>
      <c r="D64" s="334"/>
      <c r="E64" s="334"/>
      <c r="F64" s="334"/>
      <c r="G64" s="334"/>
      <c r="H64" s="334"/>
      <c r="I64" s="334"/>
      <c r="J64" s="334"/>
      <c r="K64" s="334"/>
    </row>
    <row r="65" spans="1:11" ht="14.25" customHeight="1">
      <c r="A65" s="334"/>
      <c r="B65" s="334"/>
      <c r="C65" s="334"/>
      <c r="D65" s="334"/>
      <c r="E65" s="334"/>
      <c r="F65" s="334"/>
      <c r="G65" s="334"/>
      <c r="H65" s="334"/>
      <c r="I65" s="334"/>
      <c r="J65" s="334"/>
      <c r="K65" s="334"/>
    </row>
    <row r="66" spans="1:11" ht="14.25" customHeight="1">
      <c r="A66" s="334"/>
      <c r="B66" s="334"/>
      <c r="C66" s="334"/>
      <c r="D66" s="334"/>
      <c r="E66" s="334"/>
      <c r="F66" s="334"/>
      <c r="G66" s="334"/>
      <c r="H66" s="334"/>
      <c r="I66" s="334"/>
      <c r="J66" s="334"/>
      <c r="K66" s="334"/>
    </row>
    <row r="67" spans="1:11" ht="14.25" customHeight="1">
      <c r="A67" s="334"/>
      <c r="B67" s="334"/>
      <c r="C67" s="334"/>
      <c r="D67" s="334"/>
      <c r="E67" s="334"/>
      <c r="F67" s="334"/>
      <c r="G67" s="334"/>
      <c r="H67" s="334"/>
      <c r="I67" s="334"/>
      <c r="J67" s="334"/>
      <c r="K67" s="334"/>
    </row>
    <row r="68" spans="1:11" ht="14.25" customHeight="1">
      <c r="A68" s="334"/>
      <c r="B68" s="334"/>
      <c r="C68" s="334"/>
      <c r="D68" s="334"/>
      <c r="E68" s="334"/>
      <c r="F68" s="334"/>
      <c r="G68" s="334"/>
      <c r="H68" s="334"/>
      <c r="I68" s="334"/>
      <c r="J68" s="334"/>
      <c r="K68" s="334"/>
    </row>
    <row r="69" spans="1:11" ht="14.25" customHeight="1">
      <c r="A69" s="334"/>
      <c r="B69" s="334"/>
      <c r="C69" s="334"/>
      <c r="D69" s="334"/>
      <c r="E69" s="334"/>
      <c r="F69" s="334"/>
      <c r="G69" s="334"/>
      <c r="H69" s="334"/>
      <c r="I69" s="334"/>
      <c r="J69" s="334"/>
      <c r="K69" s="334"/>
    </row>
    <row r="70" spans="1:11" ht="14.25" customHeight="1">
      <c r="A70" s="334"/>
      <c r="B70" s="334"/>
      <c r="C70" s="334"/>
      <c r="D70" s="334"/>
      <c r="E70" s="334"/>
      <c r="F70" s="334"/>
      <c r="G70" s="334"/>
      <c r="H70" s="334"/>
      <c r="I70" s="334"/>
      <c r="J70" s="334"/>
      <c r="K70" s="334"/>
    </row>
    <row r="71" spans="1:11" ht="14.25" customHeight="1">
      <c r="A71" s="334"/>
      <c r="B71" s="334"/>
      <c r="C71" s="334"/>
      <c r="D71" s="334"/>
      <c r="E71" s="334"/>
      <c r="F71" s="334"/>
      <c r="G71" s="334"/>
      <c r="H71" s="334"/>
      <c r="I71" s="334"/>
      <c r="J71" s="334"/>
      <c r="K71" s="334"/>
    </row>
    <row r="72" spans="1:11" ht="14.25" customHeight="1">
      <c r="A72" s="334"/>
      <c r="B72" s="334"/>
      <c r="C72" s="334"/>
      <c r="D72" s="334"/>
      <c r="E72" s="334"/>
      <c r="F72" s="334"/>
      <c r="G72" s="334"/>
      <c r="H72" s="334"/>
      <c r="I72" s="334"/>
      <c r="J72" s="334"/>
      <c r="K72" s="334"/>
    </row>
    <row r="73" spans="1:11" ht="14.25" customHeight="1">
      <c r="A73" s="334"/>
      <c r="B73" s="334"/>
      <c r="C73" s="334"/>
      <c r="D73" s="334"/>
      <c r="E73" s="334"/>
      <c r="F73" s="334"/>
      <c r="G73" s="334"/>
      <c r="H73" s="334"/>
      <c r="I73" s="334"/>
      <c r="J73" s="334"/>
      <c r="K73" s="334"/>
    </row>
    <row r="74" spans="1:11" ht="14.25" customHeight="1">
      <c r="A74" s="334"/>
      <c r="B74" s="334"/>
      <c r="C74" s="334"/>
      <c r="D74" s="334"/>
      <c r="E74" s="334"/>
      <c r="F74" s="334"/>
      <c r="G74" s="334"/>
      <c r="H74" s="334"/>
      <c r="I74" s="334"/>
      <c r="J74" s="334"/>
      <c r="K74" s="334"/>
    </row>
    <row r="75" spans="1:11" ht="14.25" customHeight="1">
      <c r="A75" s="334"/>
      <c r="B75" s="334"/>
      <c r="C75" s="334"/>
      <c r="D75" s="334"/>
      <c r="E75" s="334"/>
      <c r="F75" s="334"/>
      <c r="G75" s="334"/>
      <c r="H75" s="334"/>
      <c r="I75" s="334"/>
      <c r="J75" s="334"/>
      <c r="K75" s="334"/>
    </row>
    <row r="76" spans="1:11" ht="14.25" customHeight="1">
      <c r="A76" s="334"/>
      <c r="B76" s="334"/>
      <c r="C76" s="334"/>
      <c r="D76" s="334"/>
      <c r="E76" s="334"/>
      <c r="F76" s="334"/>
      <c r="G76" s="334"/>
      <c r="H76" s="334"/>
      <c r="I76" s="334"/>
      <c r="J76" s="334"/>
      <c r="K76" s="334"/>
    </row>
    <row r="77" spans="1:11" ht="14.25" customHeight="1">
      <c r="A77" s="334"/>
      <c r="B77" s="334"/>
      <c r="C77" s="334"/>
      <c r="D77" s="334"/>
      <c r="E77" s="334"/>
      <c r="F77" s="334"/>
      <c r="G77" s="334"/>
      <c r="H77" s="334"/>
      <c r="I77" s="334"/>
      <c r="J77" s="334"/>
      <c r="K77" s="334"/>
    </row>
    <row r="78" spans="1:11" ht="14.25" customHeight="1">
      <c r="A78" s="334"/>
      <c r="B78" s="334"/>
      <c r="C78" s="334"/>
      <c r="D78" s="334"/>
      <c r="E78" s="334"/>
      <c r="F78" s="334"/>
      <c r="G78" s="334"/>
      <c r="H78" s="334"/>
      <c r="I78" s="334"/>
      <c r="J78" s="334"/>
      <c r="K78" s="334"/>
    </row>
    <row r="79" spans="1:11" ht="14.25" customHeight="1">
      <c r="A79" s="334"/>
      <c r="B79" s="334"/>
      <c r="C79" s="334"/>
      <c r="D79" s="334"/>
      <c r="E79" s="334"/>
      <c r="F79" s="334"/>
      <c r="G79" s="334"/>
      <c r="H79" s="334"/>
      <c r="I79" s="334"/>
      <c r="J79" s="334"/>
      <c r="K79" s="334"/>
    </row>
    <row r="80" spans="1:11" ht="14.25" customHeight="1">
      <c r="A80" s="334"/>
      <c r="B80" s="334"/>
      <c r="C80" s="334"/>
      <c r="D80" s="334"/>
      <c r="E80" s="334"/>
      <c r="F80" s="334"/>
      <c r="G80" s="334"/>
      <c r="H80" s="334"/>
      <c r="I80" s="334"/>
      <c r="J80" s="334"/>
      <c r="K80" s="334"/>
    </row>
    <row r="81" spans="1:11" ht="14.25" customHeight="1">
      <c r="A81" s="334"/>
      <c r="B81" s="334"/>
      <c r="C81" s="334"/>
      <c r="D81" s="334"/>
      <c r="E81" s="334"/>
      <c r="F81" s="334"/>
      <c r="G81" s="334"/>
      <c r="H81" s="334"/>
      <c r="I81" s="334"/>
      <c r="J81" s="334"/>
      <c r="K81" s="334"/>
    </row>
    <row r="82" spans="1:11" ht="14.25" customHeight="1">
      <c r="A82" s="334"/>
      <c r="B82" s="334"/>
      <c r="C82" s="334"/>
      <c r="D82" s="334"/>
      <c r="E82" s="334"/>
      <c r="F82" s="334"/>
      <c r="G82" s="334"/>
      <c r="H82" s="334"/>
      <c r="I82" s="334"/>
      <c r="J82" s="334"/>
      <c r="K82" s="334"/>
    </row>
    <row r="83" spans="1:11" ht="14.25" customHeight="1">
      <c r="A83" s="334"/>
      <c r="B83" s="334"/>
      <c r="C83" s="334"/>
      <c r="D83" s="334"/>
      <c r="E83" s="334"/>
      <c r="F83" s="334"/>
      <c r="G83" s="334"/>
      <c r="H83" s="334"/>
      <c r="I83" s="334"/>
      <c r="J83" s="334"/>
      <c r="K83" s="334"/>
    </row>
    <row r="84" spans="1:11" ht="14.25" customHeight="1">
      <c r="A84" s="334"/>
      <c r="B84" s="334"/>
      <c r="C84" s="334"/>
      <c r="D84" s="334"/>
      <c r="E84" s="334"/>
      <c r="F84" s="334"/>
      <c r="G84" s="334"/>
      <c r="H84" s="334"/>
      <c r="I84" s="334"/>
      <c r="J84" s="334"/>
      <c r="K84" s="334"/>
    </row>
    <row r="85" spans="1:11" ht="14.25" customHeight="1">
      <c r="A85" s="334"/>
      <c r="B85" s="334"/>
      <c r="C85" s="334"/>
      <c r="D85" s="334"/>
      <c r="E85" s="334"/>
      <c r="F85" s="334"/>
      <c r="G85" s="334"/>
      <c r="H85" s="334"/>
      <c r="I85" s="334"/>
      <c r="J85" s="334"/>
      <c r="K85" s="334"/>
    </row>
    <row r="86" spans="1:11" ht="14.25" customHeight="1">
      <c r="A86" s="334"/>
      <c r="B86" s="334"/>
      <c r="C86" s="334"/>
      <c r="D86" s="334"/>
      <c r="E86" s="334"/>
      <c r="F86" s="334"/>
      <c r="G86" s="334"/>
      <c r="H86" s="334"/>
      <c r="I86" s="334"/>
      <c r="J86" s="334"/>
      <c r="K86" s="334"/>
    </row>
    <row r="87" spans="1:11" ht="14.25" customHeight="1">
      <c r="A87" s="334"/>
      <c r="B87" s="334"/>
      <c r="C87" s="334"/>
      <c r="D87" s="334"/>
      <c r="E87" s="334"/>
      <c r="F87" s="334"/>
      <c r="G87" s="334"/>
      <c r="H87" s="334"/>
      <c r="I87" s="334"/>
      <c r="J87" s="334"/>
      <c r="K87" s="334"/>
    </row>
    <row r="88" spans="1:11" ht="14.25" customHeight="1">
      <c r="A88" s="334"/>
      <c r="B88" s="334"/>
      <c r="C88" s="334"/>
      <c r="D88" s="334"/>
      <c r="E88" s="334"/>
      <c r="F88" s="334"/>
      <c r="G88" s="334"/>
      <c r="H88" s="334"/>
      <c r="I88" s="334"/>
      <c r="J88" s="334"/>
      <c r="K88" s="334"/>
    </row>
    <row r="89" spans="1:11" ht="14.25" customHeight="1">
      <c r="A89" s="334"/>
      <c r="B89" s="334"/>
      <c r="C89" s="334"/>
      <c r="D89" s="334"/>
      <c r="E89" s="334"/>
      <c r="F89" s="334"/>
      <c r="G89" s="334"/>
      <c r="H89" s="334"/>
      <c r="I89" s="334"/>
      <c r="J89" s="334"/>
      <c r="K89" s="334"/>
    </row>
    <row r="90" spans="1:11" ht="14.25" customHeight="1">
      <c r="A90" s="334"/>
      <c r="B90" s="334"/>
      <c r="C90" s="334"/>
      <c r="D90" s="334"/>
      <c r="E90" s="334"/>
      <c r="F90" s="334"/>
      <c r="G90" s="334"/>
      <c r="H90" s="334"/>
      <c r="I90" s="334"/>
      <c r="J90" s="334"/>
      <c r="K90" s="334"/>
    </row>
    <row r="91" spans="1:11" ht="14.25" customHeight="1">
      <c r="A91" s="334"/>
      <c r="B91" s="334"/>
      <c r="C91" s="334"/>
      <c r="D91" s="334"/>
      <c r="E91" s="334"/>
      <c r="F91" s="334"/>
      <c r="G91" s="334"/>
      <c r="H91" s="334"/>
      <c r="I91" s="334"/>
      <c r="J91" s="334"/>
      <c r="K91" s="334"/>
    </row>
    <row r="92" spans="1:11" ht="14.25" customHeight="1">
      <c r="A92" s="334"/>
      <c r="B92" s="334"/>
      <c r="C92" s="334"/>
      <c r="D92" s="334"/>
      <c r="E92" s="334"/>
      <c r="F92" s="334"/>
      <c r="G92" s="334"/>
      <c r="H92" s="334"/>
      <c r="I92" s="334"/>
      <c r="J92" s="334"/>
      <c r="K92" s="334"/>
    </row>
    <row r="93" spans="1:11" ht="14.25" customHeight="1">
      <c r="A93" s="334"/>
      <c r="B93" s="334"/>
      <c r="C93" s="334"/>
      <c r="D93" s="334"/>
      <c r="E93" s="334"/>
      <c r="F93" s="334"/>
      <c r="G93" s="334"/>
      <c r="H93" s="334"/>
      <c r="I93" s="334"/>
      <c r="J93" s="334"/>
      <c r="K93" s="334"/>
    </row>
    <row r="94" spans="1:11" ht="14.25" customHeight="1">
      <c r="A94" s="334"/>
      <c r="B94" s="334"/>
      <c r="C94" s="334"/>
      <c r="D94" s="334"/>
      <c r="E94" s="334"/>
      <c r="F94" s="334"/>
      <c r="G94" s="334"/>
      <c r="H94" s="334"/>
      <c r="I94" s="334"/>
      <c r="J94" s="334"/>
      <c r="K94" s="334"/>
    </row>
    <row r="95" spans="1:11" ht="14.25" customHeight="1">
      <c r="A95" s="334"/>
      <c r="B95" s="334"/>
      <c r="C95" s="334"/>
      <c r="D95" s="334"/>
      <c r="E95" s="334"/>
      <c r="F95" s="334"/>
      <c r="G95" s="334"/>
      <c r="H95" s="334"/>
      <c r="I95" s="334"/>
      <c r="J95" s="334"/>
      <c r="K95" s="334"/>
    </row>
    <row r="96" spans="1:11" ht="14.25" customHeight="1">
      <c r="A96" s="334"/>
      <c r="B96" s="334"/>
      <c r="C96" s="334"/>
      <c r="D96" s="334"/>
      <c r="E96" s="334"/>
      <c r="F96" s="334"/>
      <c r="G96" s="334"/>
      <c r="H96" s="334"/>
      <c r="I96" s="334"/>
      <c r="J96" s="334"/>
      <c r="K96" s="334"/>
    </row>
    <row r="97" spans="1:11" ht="14.25" customHeight="1">
      <c r="A97" s="334"/>
      <c r="B97" s="334"/>
      <c r="C97" s="334"/>
      <c r="D97" s="334"/>
      <c r="E97" s="334"/>
      <c r="F97" s="334"/>
      <c r="G97" s="334"/>
      <c r="H97" s="334"/>
      <c r="I97" s="334"/>
      <c r="J97" s="334"/>
      <c r="K97" s="334"/>
    </row>
    <row r="98" spans="1:11" ht="14.25" customHeight="1">
      <c r="A98" s="334"/>
      <c r="B98" s="334"/>
      <c r="C98" s="334"/>
      <c r="D98" s="334"/>
      <c r="E98" s="334"/>
      <c r="F98" s="334"/>
      <c r="G98" s="334"/>
      <c r="H98" s="334"/>
      <c r="I98" s="334"/>
      <c r="J98" s="334"/>
      <c r="K98" s="334"/>
    </row>
    <row r="99" spans="1:11" ht="14.25" customHeight="1">
      <c r="A99" s="334"/>
      <c r="B99" s="334"/>
      <c r="C99" s="334"/>
      <c r="D99" s="334"/>
      <c r="E99" s="334"/>
      <c r="F99" s="334"/>
      <c r="G99" s="334"/>
      <c r="H99" s="334"/>
      <c r="I99" s="334"/>
      <c r="J99" s="334"/>
      <c r="K99" s="334"/>
    </row>
    <row r="100" spans="1:11" ht="14.25" customHeight="1">
      <c r="A100" s="334"/>
      <c r="B100" s="334"/>
      <c r="C100" s="334"/>
      <c r="D100" s="334"/>
      <c r="E100" s="334"/>
      <c r="F100" s="334"/>
      <c r="G100" s="334"/>
      <c r="H100" s="334"/>
      <c r="I100" s="334"/>
      <c r="J100" s="334"/>
      <c r="K100" s="334"/>
    </row>
  </sheetData>
  <mergeCells count="1">
    <mergeCell ref="A1:D1"/>
  </mergeCells>
  <pageMargins left="0.7" right="0.7" top="0.75" bottom="0.75" header="0" footer="0"/>
  <pageSetup scale="9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4"/>
  <sheetViews>
    <sheetView topLeftCell="A160" workbookViewId="0"/>
  </sheetViews>
  <sheetFormatPr defaultColWidth="14.42578125" defaultRowHeight="15" customHeight="1"/>
  <cols>
    <col min="1" max="1" width="8.7109375" customWidth="1"/>
    <col min="2" max="2" width="7.5703125" customWidth="1"/>
    <col min="3" max="3" width="40.140625" customWidth="1"/>
    <col min="4" max="4" width="11.85546875" customWidth="1"/>
    <col min="5" max="5" width="17" customWidth="1"/>
    <col min="6" max="6" width="14" customWidth="1"/>
    <col min="7" max="7" width="13.7109375" bestFit="1" customWidth="1"/>
    <col min="8" max="8" width="11.5703125" customWidth="1"/>
    <col min="9" max="9" width="10.42578125" customWidth="1"/>
    <col min="10" max="10" width="12.5703125" customWidth="1"/>
    <col min="11" max="11" width="8.7109375" customWidth="1"/>
  </cols>
  <sheetData>
    <row r="1" spans="1:10" ht="14.25" customHeight="1"/>
    <row r="2" spans="1:10" ht="14.25" customHeight="1">
      <c r="A2">
        <v>2.1</v>
      </c>
      <c r="B2" s="359" t="s">
        <v>114</v>
      </c>
      <c r="C2" s="360"/>
      <c r="D2" s="360"/>
      <c r="E2" s="360"/>
      <c r="F2" s="360"/>
      <c r="G2" s="360"/>
    </row>
    <row r="3" spans="1:10" ht="14.25" customHeight="1"/>
    <row r="4" spans="1:10" ht="14.25" customHeight="1">
      <c r="B4" s="42" t="s">
        <v>81</v>
      </c>
      <c r="C4" s="42" t="s">
        <v>82</v>
      </c>
      <c r="D4" s="42" t="s">
        <v>115</v>
      </c>
      <c r="E4" s="42" t="s">
        <v>116</v>
      </c>
      <c r="F4" s="42" t="s">
        <v>117</v>
      </c>
      <c r="G4" s="42" t="s">
        <v>83</v>
      </c>
    </row>
    <row r="5" spans="1:10" ht="14.25" customHeight="1">
      <c r="B5" s="43">
        <v>1</v>
      </c>
      <c r="C5" s="43" t="s">
        <v>118</v>
      </c>
      <c r="D5" s="43" t="s">
        <v>119</v>
      </c>
      <c r="E5" s="44"/>
      <c r="F5" s="45"/>
      <c r="G5" s="46" t="s">
        <v>120</v>
      </c>
    </row>
    <row r="6" spans="1:10" ht="14.25" customHeight="1">
      <c r="B6" s="43">
        <v>2</v>
      </c>
      <c r="C6" s="43" t="s">
        <v>121</v>
      </c>
      <c r="D6" s="47" t="s">
        <v>122</v>
      </c>
      <c r="E6" s="48">
        <v>232.32</v>
      </c>
      <c r="F6" s="49">
        <f t="shared" ref="F6:F8" si="0">G6/E6</f>
        <v>6456.6115702479337</v>
      </c>
      <c r="G6" s="50">
        <v>1500000</v>
      </c>
      <c r="H6" s="27"/>
    </row>
    <row r="7" spans="1:10" ht="14.25" customHeight="1">
      <c r="B7" s="43">
        <v>3</v>
      </c>
      <c r="C7" s="43" t="s">
        <v>123</v>
      </c>
      <c r="D7" s="47" t="s">
        <v>122</v>
      </c>
      <c r="E7" s="48">
        <v>124</v>
      </c>
      <c r="F7" s="49">
        <f t="shared" si="0"/>
        <v>7213.7096774193551</v>
      </c>
      <c r="G7" s="50">
        <v>894500</v>
      </c>
      <c r="H7" s="27"/>
    </row>
    <row r="8" spans="1:10" ht="14.25" customHeight="1">
      <c r="B8" s="43">
        <v>4</v>
      </c>
      <c r="C8" s="43" t="s">
        <v>124</v>
      </c>
      <c r="D8" s="47" t="s">
        <v>122</v>
      </c>
      <c r="E8" s="48">
        <v>527.20000000000005</v>
      </c>
      <c r="F8" s="49">
        <f t="shared" si="0"/>
        <v>21853.186646433987</v>
      </c>
      <c r="G8" s="51">
        <v>11521000</v>
      </c>
      <c r="I8" s="52">
        <f>E8*1.8</f>
        <v>948.96000000000015</v>
      </c>
      <c r="J8" s="52">
        <f>I8*10632</f>
        <v>10089342.720000001</v>
      </c>
    </row>
    <row r="9" spans="1:10" ht="14.25" customHeight="1">
      <c r="B9" s="43"/>
      <c r="C9" s="43"/>
      <c r="D9" s="47"/>
      <c r="E9" s="48"/>
      <c r="F9" s="50"/>
      <c r="G9" s="51">
        <f t="shared" ref="G9:G10" si="1">E9*F9</f>
        <v>0</v>
      </c>
    </row>
    <row r="10" spans="1:10" ht="14.25" customHeight="1">
      <c r="B10" s="43"/>
      <c r="C10" s="43"/>
      <c r="D10" s="47"/>
      <c r="E10" s="48"/>
      <c r="F10" s="50"/>
      <c r="G10" s="51">
        <f t="shared" si="1"/>
        <v>0</v>
      </c>
    </row>
    <row r="11" spans="1:10" ht="14.25" customHeight="1">
      <c r="B11" s="364" t="s">
        <v>87</v>
      </c>
      <c r="C11" s="347"/>
      <c r="D11" s="347"/>
      <c r="E11" s="347"/>
      <c r="F11" s="348"/>
      <c r="G11" s="53">
        <f>SUM(G6:G10)</f>
        <v>13915500</v>
      </c>
    </row>
    <row r="12" spans="1:10" ht="14.25" customHeight="1"/>
    <row r="13" spans="1:10" ht="14.25" customHeight="1"/>
    <row r="14" spans="1:10" ht="14.25" customHeight="1">
      <c r="B14" s="362" t="s">
        <v>125</v>
      </c>
      <c r="C14" s="360"/>
      <c r="D14" s="360"/>
      <c r="E14" s="360"/>
      <c r="F14" s="360"/>
      <c r="G14" s="360"/>
    </row>
    <row r="15" spans="1:10" ht="14.25" customHeight="1"/>
    <row r="16" spans="1:10" ht="14.25" customHeight="1">
      <c r="A16">
        <v>2.2000000000000002</v>
      </c>
      <c r="B16" s="359" t="s">
        <v>126</v>
      </c>
      <c r="C16" s="360"/>
      <c r="D16" s="360"/>
      <c r="E16" s="360"/>
      <c r="F16" s="360"/>
      <c r="G16" s="360"/>
      <c r="H16" s="360"/>
    </row>
    <row r="17" spans="2:8" ht="14.25" customHeight="1">
      <c r="B17" s="54"/>
    </row>
    <row r="18" spans="2:8" ht="14.25" customHeight="1">
      <c r="B18" s="42" t="s">
        <v>81</v>
      </c>
      <c r="C18" s="42" t="s">
        <v>10</v>
      </c>
      <c r="D18" s="42" t="s">
        <v>127</v>
      </c>
      <c r="E18" s="42" t="s">
        <v>128</v>
      </c>
      <c r="F18" s="42" t="s">
        <v>129</v>
      </c>
      <c r="G18" s="42" t="s">
        <v>83</v>
      </c>
      <c r="H18" s="42" t="s">
        <v>130</v>
      </c>
    </row>
    <row r="19" spans="2:8" ht="14.25" customHeight="1">
      <c r="B19" s="55"/>
      <c r="C19" s="56"/>
      <c r="D19" s="56"/>
      <c r="E19" s="56"/>
      <c r="F19" s="56"/>
      <c r="G19" s="57"/>
      <c r="H19" s="58"/>
    </row>
    <row r="20" spans="2:8" ht="14.25" customHeight="1">
      <c r="B20" s="59" t="s">
        <v>19</v>
      </c>
      <c r="C20" s="60" t="s">
        <v>131</v>
      </c>
      <c r="D20" s="60" t="s">
        <v>132</v>
      </c>
      <c r="E20" s="59"/>
      <c r="F20" s="61"/>
      <c r="G20" s="57"/>
      <c r="H20" s="62"/>
    </row>
    <row r="21" spans="2:8" ht="14.25" customHeight="1">
      <c r="B21" s="59">
        <v>1</v>
      </c>
      <c r="C21" t="s">
        <v>133</v>
      </c>
      <c r="D21" s="60"/>
      <c r="E21" s="59">
        <v>1</v>
      </c>
      <c r="F21" s="61">
        <v>132345</v>
      </c>
      <c r="G21" s="57">
        <f t="shared" ref="G21:G34" si="2">E21*F21</f>
        <v>132345</v>
      </c>
      <c r="H21" s="62">
        <v>10.5</v>
      </c>
    </row>
    <row r="22" spans="2:8" ht="14.25" customHeight="1">
      <c r="B22" s="59">
        <v>2</v>
      </c>
      <c r="C22" t="s">
        <v>134</v>
      </c>
      <c r="D22" s="60"/>
      <c r="E22" s="59">
        <v>1</v>
      </c>
      <c r="F22" s="61">
        <v>440576</v>
      </c>
      <c r="G22" s="57">
        <f t="shared" si="2"/>
        <v>440576</v>
      </c>
      <c r="H22" s="62">
        <v>7.5</v>
      </c>
    </row>
    <row r="23" spans="2:8" ht="14.25" customHeight="1">
      <c r="B23" s="59">
        <v>3</v>
      </c>
      <c r="C23" t="s">
        <v>135</v>
      </c>
      <c r="D23" s="60"/>
      <c r="E23" s="59">
        <v>1</v>
      </c>
      <c r="F23" s="61">
        <v>120884</v>
      </c>
      <c r="G23" s="57">
        <f t="shared" si="2"/>
        <v>120884</v>
      </c>
      <c r="H23" s="62">
        <v>0.5</v>
      </c>
    </row>
    <row r="24" spans="2:8" ht="14.25" customHeight="1">
      <c r="B24" s="59">
        <v>4</v>
      </c>
      <c r="C24" t="s">
        <v>136</v>
      </c>
      <c r="D24" s="60"/>
      <c r="E24" s="59">
        <v>1</v>
      </c>
      <c r="F24" s="61">
        <v>515227</v>
      </c>
      <c r="G24" s="57">
        <f t="shared" si="2"/>
        <v>515227</v>
      </c>
      <c r="H24" s="62"/>
    </row>
    <row r="25" spans="2:8" ht="14.25" customHeight="1">
      <c r="B25" s="59">
        <v>5</v>
      </c>
      <c r="C25" s="63" t="s">
        <v>137</v>
      </c>
      <c r="D25" s="60"/>
      <c r="E25" s="59">
        <v>1</v>
      </c>
      <c r="F25" s="61">
        <v>290700</v>
      </c>
      <c r="G25" s="57">
        <f t="shared" si="2"/>
        <v>290700</v>
      </c>
      <c r="H25" s="62"/>
    </row>
    <row r="26" spans="2:8" ht="14.25" customHeight="1">
      <c r="B26" s="59">
        <v>6</v>
      </c>
      <c r="C26" s="63" t="s">
        <v>138</v>
      </c>
      <c r="D26" s="60"/>
      <c r="E26" s="59">
        <v>1</v>
      </c>
      <c r="F26" s="61">
        <v>120400</v>
      </c>
      <c r="G26" s="57">
        <f t="shared" si="2"/>
        <v>120400</v>
      </c>
      <c r="H26" s="62"/>
    </row>
    <row r="27" spans="2:8" ht="14.25" customHeight="1">
      <c r="B27" s="59">
        <v>7</v>
      </c>
      <c r="C27" t="s">
        <v>139</v>
      </c>
      <c r="D27" s="60"/>
      <c r="E27" s="59">
        <v>1</v>
      </c>
      <c r="F27" s="61">
        <v>460557</v>
      </c>
      <c r="G27" s="57">
        <f t="shared" si="2"/>
        <v>460557</v>
      </c>
      <c r="H27" s="62"/>
    </row>
    <row r="28" spans="2:8" ht="14.25" customHeight="1">
      <c r="B28" s="59">
        <v>8</v>
      </c>
      <c r="C28" s="63" t="s">
        <v>140</v>
      </c>
      <c r="D28" s="60"/>
      <c r="E28" s="59">
        <v>1</v>
      </c>
      <c r="F28" s="61">
        <v>120884</v>
      </c>
      <c r="G28" s="57">
        <f t="shared" si="2"/>
        <v>120884</v>
      </c>
      <c r="H28" s="62"/>
    </row>
    <row r="29" spans="2:8" ht="14.25" customHeight="1">
      <c r="B29" s="59">
        <v>9</v>
      </c>
      <c r="C29" t="s">
        <v>141</v>
      </c>
      <c r="D29" s="60"/>
      <c r="E29" s="59">
        <v>1</v>
      </c>
      <c r="F29" s="61">
        <v>427000</v>
      </c>
      <c r="G29" s="57">
        <f t="shared" si="2"/>
        <v>427000</v>
      </c>
      <c r="H29" s="62"/>
    </row>
    <row r="30" spans="2:8" ht="14.25" customHeight="1">
      <c r="B30" s="59">
        <v>10</v>
      </c>
      <c r="C30" t="s">
        <v>142</v>
      </c>
      <c r="D30" s="60"/>
      <c r="E30" s="59">
        <v>1</v>
      </c>
      <c r="F30" s="61">
        <v>18000</v>
      </c>
      <c r="G30" s="57">
        <f t="shared" si="2"/>
        <v>18000</v>
      </c>
      <c r="H30" s="62"/>
    </row>
    <row r="31" spans="2:8" ht="14.25" customHeight="1">
      <c r="B31" s="59">
        <v>11</v>
      </c>
      <c r="C31" t="s">
        <v>143</v>
      </c>
      <c r="D31" s="60"/>
      <c r="E31" s="59">
        <v>5</v>
      </c>
      <c r="F31" s="61">
        <v>32000</v>
      </c>
      <c r="G31" s="57">
        <f t="shared" si="2"/>
        <v>160000</v>
      </c>
      <c r="H31" s="62"/>
    </row>
    <row r="32" spans="2:8" ht="14.25" customHeight="1">
      <c r="B32" s="59">
        <v>12</v>
      </c>
      <c r="C32" t="s">
        <v>144</v>
      </c>
      <c r="D32" s="60"/>
      <c r="E32" s="59">
        <v>1</v>
      </c>
      <c r="F32" s="61">
        <v>38000</v>
      </c>
      <c r="G32" s="57">
        <f t="shared" si="2"/>
        <v>38000</v>
      </c>
      <c r="H32" s="62"/>
    </row>
    <row r="33" spans="2:9" ht="14.25" customHeight="1">
      <c r="B33" s="59">
        <v>13</v>
      </c>
      <c r="C33" t="s">
        <v>145</v>
      </c>
      <c r="D33" s="60"/>
      <c r="E33" s="59">
        <v>1</v>
      </c>
      <c r="F33" s="61">
        <v>135000</v>
      </c>
      <c r="G33" s="57">
        <f t="shared" si="2"/>
        <v>135000</v>
      </c>
      <c r="H33" s="62"/>
    </row>
    <row r="34" spans="2:9" ht="14.25" customHeight="1">
      <c r="B34" s="59">
        <v>14</v>
      </c>
      <c r="C34" t="s">
        <v>146</v>
      </c>
      <c r="D34" s="60"/>
      <c r="E34" s="59">
        <v>1</v>
      </c>
      <c r="F34" s="61">
        <v>435000</v>
      </c>
      <c r="G34" s="57">
        <f t="shared" si="2"/>
        <v>435000</v>
      </c>
      <c r="H34" s="62"/>
    </row>
    <row r="35" spans="2:9" ht="14.25" customHeight="1">
      <c r="B35" s="59">
        <v>15</v>
      </c>
      <c r="C35" s="64" t="s">
        <v>147</v>
      </c>
      <c r="D35" s="59"/>
      <c r="E35" s="59"/>
      <c r="F35" s="61"/>
      <c r="G35" s="57">
        <f>SUM(G21:G34)*18%</f>
        <v>614623.14</v>
      </c>
      <c r="H35" s="62"/>
    </row>
    <row r="36" spans="2:9" ht="14.25" customHeight="1">
      <c r="B36" s="59">
        <v>16</v>
      </c>
      <c r="C36" s="64" t="s">
        <v>148</v>
      </c>
      <c r="D36" s="59"/>
      <c r="E36" s="59"/>
      <c r="F36" s="61"/>
      <c r="G36" s="57">
        <v>55000</v>
      </c>
      <c r="H36" s="62"/>
    </row>
    <row r="37" spans="2:9" ht="14.25" customHeight="1">
      <c r="B37" s="59">
        <v>17</v>
      </c>
      <c r="C37" s="64" t="s">
        <v>149</v>
      </c>
      <c r="D37" s="59"/>
      <c r="E37" s="59"/>
      <c r="F37" s="61"/>
      <c r="G37" s="57">
        <v>160000</v>
      </c>
      <c r="H37" s="62"/>
    </row>
    <row r="38" spans="2:9" ht="14.25" customHeight="1">
      <c r="B38" s="59">
        <v>18</v>
      </c>
      <c r="C38" s="64" t="s">
        <v>150</v>
      </c>
      <c r="D38" s="59"/>
      <c r="E38" s="59"/>
      <c r="F38" s="61"/>
      <c r="G38" s="57"/>
      <c r="H38" s="62"/>
    </row>
    <row r="39" spans="2:9" ht="14.25" customHeight="1">
      <c r="B39" s="59">
        <v>19</v>
      </c>
      <c r="C39" s="63" t="s">
        <v>151</v>
      </c>
      <c r="D39" s="59"/>
      <c r="E39" s="59">
        <v>1</v>
      </c>
      <c r="F39" s="61">
        <v>420000</v>
      </c>
      <c r="G39" s="57">
        <f t="shared" ref="G39:G44" si="3">F39</f>
        <v>420000</v>
      </c>
      <c r="H39" s="62"/>
    </row>
    <row r="40" spans="2:9" ht="14.25" customHeight="1">
      <c r="B40" s="59">
        <v>20</v>
      </c>
      <c r="C40" s="63" t="s">
        <v>152</v>
      </c>
      <c r="D40" s="59"/>
      <c r="E40" s="59">
        <v>1</v>
      </c>
      <c r="F40" s="61">
        <v>150000</v>
      </c>
      <c r="G40" s="57">
        <f t="shared" si="3"/>
        <v>150000</v>
      </c>
      <c r="H40" s="62"/>
    </row>
    <row r="41" spans="2:9" ht="14.25" customHeight="1">
      <c r="B41" s="59">
        <v>21</v>
      </c>
      <c r="C41" t="s">
        <v>153</v>
      </c>
      <c r="D41" s="59"/>
      <c r="E41" s="59">
        <v>1</v>
      </c>
      <c r="F41" s="61">
        <v>15000</v>
      </c>
      <c r="G41" s="57">
        <f t="shared" si="3"/>
        <v>15000</v>
      </c>
      <c r="H41" s="62"/>
    </row>
    <row r="42" spans="2:9" ht="14.25" customHeight="1">
      <c r="B42" s="59">
        <v>22</v>
      </c>
      <c r="C42" t="s">
        <v>154</v>
      </c>
      <c r="D42" s="59"/>
      <c r="E42" s="59">
        <v>1</v>
      </c>
      <c r="F42" s="61">
        <v>35000</v>
      </c>
      <c r="G42" s="57">
        <f t="shared" si="3"/>
        <v>35000</v>
      </c>
      <c r="H42" s="62"/>
    </row>
    <row r="43" spans="2:9" ht="14.25" customHeight="1">
      <c r="B43" s="59">
        <v>23</v>
      </c>
      <c r="C43" t="s">
        <v>155</v>
      </c>
      <c r="D43" s="59"/>
      <c r="E43" s="59">
        <v>1</v>
      </c>
      <c r="F43" s="61">
        <v>110000</v>
      </c>
      <c r="G43" s="57">
        <f t="shared" si="3"/>
        <v>110000</v>
      </c>
      <c r="H43" s="62"/>
    </row>
    <row r="44" spans="2:9" ht="14.25" customHeight="1">
      <c r="B44" s="59">
        <v>24</v>
      </c>
      <c r="C44" t="s">
        <v>156</v>
      </c>
      <c r="D44" s="59"/>
      <c r="E44" s="59">
        <v>1</v>
      </c>
      <c r="F44" s="61">
        <v>119400</v>
      </c>
      <c r="G44" s="57">
        <f t="shared" si="3"/>
        <v>119400</v>
      </c>
      <c r="H44" s="62"/>
    </row>
    <row r="45" spans="2:9" ht="14.25" customHeight="1">
      <c r="B45" s="59">
        <v>25</v>
      </c>
      <c r="C45" t="s">
        <v>147</v>
      </c>
      <c r="D45" s="59"/>
      <c r="E45" s="59"/>
      <c r="F45" s="61"/>
      <c r="G45" s="57">
        <f>SUM(G39:G44)*18%</f>
        <v>152892</v>
      </c>
      <c r="H45" s="62"/>
    </row>
    <row r="46" spans="2:9" ht="14.25" customHeight="1">
      <c r="B46" s="365" t="s">
        <v>157</v>
      </c>
      <c r="C46" s="348"/>
      <c r="D46" s="59"/>
      <c r="E46" s="59"/>
      <c r="F46" s="65"/>
      <c r="G46" s="57">
        <f>SUM(G21:G45)</f>
        <v>5246488.1400000006</v>
      </c>
      <c r="H46" s="57">
        <f>SUM(H21:H35)</f>
        <v>18.5</v>
      </c>
      <c r="I46" s="21">
        <f>G46+G75</f>
        <v>5610599.2400000002</v>
      </c>
    </row>
    <row r="47" spans="2:9" ht="14.25" customHeight="1">
      <c r="B47" s="59"/>
      <c r="C47" s="60"/>
      <c r="D47" s="55"/>
      <c r="E47" s="55"/>
      <c r="F47" s="57"/>
      <c r="G47" s="57"/>
      <c r="H47" s="58"/>
    </row>
    <row r="48" spans="2:9" ht="14.25" customHeight="1">
      <c r="B48" s="59" t="s">
        <v>19</v>
      </c>
      <c r="C48" s="66" t="s">
        <v>158</v>
      </c>
      <c r="D48" s="67" t="s">
        <v>159</v>
      </c>
      <c r="E48" s="55"/>
      <c r="F48" s="57"/>
      <c r="G48" s="57"/>
      <c r="H48" s="58"/>
    </row>
    <row r="49" spans="2:8" ht="14.25" customHeight="1">
      <c r="B49" s="59" t="s">
        <v>160</v>
      </c>
      <c r="C49" s="68" t="s">
        <v>161</v>
      </c>
      <c r="D49" s="55"/>
      <c r="E49" s="55"/>
      <c r="F49" s="57"/>
      <c r="G49" s="57"/>
      <c r="H49" s="58"/>
    </row>
    <row r="50" spans="2:8" ht="14.25" customHeight="1">
      <c r="B50" s="55">
        <v>1</v>
      </c>
      <c r="C50" s="64" t="s">
        <v>156</v>
      </c>
      <c r="D50" s="55"/>
      <c r="E50" s="55">
        <v>1</v>
      </c>
      <c r="F50" s="57">
        <v>50000</v>
      </c>
      <c r="G50" s="57">
        <f t="shared" ref="G50:G55" si="4">E50*F50</f>
        <v>50000</v>
      </c>
      <c r="H50" s="58">
        <v>1.5</v>
      </c>
    </row>
    <row r="51" spans="2:8" ht="14.25" customHeight="1">
      <c r="B51" s="55">
        <v>2</v>
      </c>
      <c r="C51" s="64" t="s">
        <v>162</v>
      </c>
      <c r="D51" s="55"/>
      <c r="E51" s="55">
        <v>1</v>
      </c>
      <c r="F51" s="57">
        <v>40000</v>
      </c>
      <c r="G51" s="57">
        <f t="shared" si="4"/>
        <v>40000</v>
      </c>
      <c r="H51" s="58">
        <v>1.5</v>
      </c>
    </row>
    <row r="52" spans="2:8" ht="14.25" customHeight="1">
      <c r="B52" s="55">
        <v>3</v>
      </c>
      <c r="C52" s="64" t="s">
        <v>163</v>
      </c>
      <c r="D52" s="55"/>
      <c r="E52" s="55">
        <v>1</v>
      </c>
      <c r="F52" s="57">
        <v>22000</v>
      </c>
      <c r="G52" s="57">
        <f t="shared" si="4"/>
        <v>22000</v>
      </c>
      <c r="H52" s="58">
        <v>0.5</v>
      </c>
    </row>
    <row r="53" spans="2:8" ht="14.25" customHeight="1">
      <c r="B53" s="55">
        <v>4</v>
      </c>
      <c r="C53" s="64" t="s">
        <v>164</v>
      </c>
      <c r="D53" s="55"/>
      <c r="E53" s="55">
        <v>1</v>
      </c>
      <c r="F53" s="57">
        <v>93000</v>
      </c>
      <c r="G53" s="57">
        <f t="shared" si="4"/>
        <v>93000</v>
      </c>
      <c r="H53" s="58">
        <v>1</v>
      </c>
    </row>
    <row r="54" spans="2:8" ht="14.25" customHeight="1">
      <c r="B54" s="55">
        <v>5</v>
      </c>
      <c r="C54" s="64" t="s">
        <v>165</v>
      </c>
      <c r="D54" s="55"/>
      <c r="E54" s="55">
        <v>1</v>
      </c>
      <c r="F54" s="57">
        <v>60000</v>
      </c>
      <c r="G54" s="57">
        <f t="shared" si="4"/>
        <v>60000</v>
      </c>
      <c r="H54" s="58">
        <v>1</v>
      </c>
    </row>
    <row r="55" spans="2:8" ht="14.25" customHeight="1">
      <c r="B55" s="55">
        <v>6</v>
      </c>
      <c r="C55" s="64" t="s">
        <v>166</v>
      </c>
      <c r="D55" s="55"/>
      <c r="E55" s="55">
        <v>1</v>
      </c>
      <c r="F55" s="57">
        <v>55000</v>
      </c>
      <c r="G55" s="57">
        <f t="shared" si="4"/>
        <v>55000</v>
      </c>
      <c r="H55" s="58">
        <v>1</v>
      </c>
    </row>
    <row r="56" spans="2:8" ht="14.25" customHeight="1">
      <c r="B56" s="59" t="s">
        <v>167</v>
      </c>
      <c r="C56" s="68" t="s">
        <v>168</v>
      </c>
      <c r="D56" s="55"/>
      <c r="E56" s="55"/>
      <c r="F56" s="57"/>
      <c r="G56" s="57"/>
      <c r="H56" s="58"/>
    </row>
    <row r="57" spans="2:8" ht="14.25" customHeight="1">
      <c r="B57" s="55">
        <v>1</v>
      </c>
      <c r="C57" s="64" t="s">
        <v>156</v>
      </c>
      <c r="D57" s="55"/>
      <c r="E57" s="55">
        <v>1</v>
      </c>
      <c r="F57" s="57">
        <v>50000</v>
      </c>
      <c r="G57" s="57">
        <f t="shared" ref="G57:G58" si="5">E57*F57</f>
        <v>50000</v>
      </c>
      <c r="H57" s="58">
        <v>1.5</v>
      </c>
    </row>
    <row r="58" spans="2:8" ht="14.25" customHeight="1">
      <c r="B58" s="55">
        <v>2</v>
      </c>
      <c r="C58" s="64" t="s">
        <v>169</v>
      </c>
      <c r="D58" s="55"/>
      <c r="E58" s="55">
        <v>1</v>
      </c>
      <c r="F58" s="57">
        <v>41000</v>
      </c>
      <c r="G58" s="57">
        <f t="shared" si="5"/>
        <v>41000</v>
      </c>
      <c r="H58" s="58">
        <v>1</v>
      </c>
    </row>
    <row r="59" spans="2:8" ht="14.25" customHeight="1">
      <c r="B59" s="55">
        <v>3</v>
      </c>
      <c r="C59" s="64" t="s">
        <v>170</v>
      </c>
      <c r="D59" s="55"/>
      <c r="E59" s="55">
        <v>2</v>
      </c>
      <c r="F59" s="57">
        <v>42000</v>
      </c>
      <c r="G59" s="57">
        <f>F59*E59</f>
        <v>84000</v>
      </c>
      <c r="H59" s="58"/>
    </row>
    <row r="60" spans="2:8" ht="14.25" customHeight="1">
      <c r="B60" s="59" t="s">
        <v>171</v>
      </c>
      <c r="C60" s="68" t="s">
        <v>172</v>
      </c>
      <c r="D60" s="55"/>
      <c r="E60" s="55"/>
      <c r="F60" s="57"/>
      <c r="G60" s="57"/>
      <c r="H60" s="58"/>
    </row>
    <row r="61" spans="2:8" ht="14.25" customHeight="1">
      <c r="B61" s="55">
        <v>1</v>
      </c>
      <c r="C61" s="64" t="s">
        <v>156</v>
      </c>
      <c r="D61" s="55"/>
      <c r="E61" s="55">
        <v>1</v>
      </c>
      <c r="F61" s="57">
        <v>50000</v>
      </c>
      <c r="G61" s="57">
        <f>F61</f>
        <v>50000</v>
      </c>
      <c r="H61" s="58">
        <v>1.5</v>
      </c>
    </row>
    <row r="62" spans="2:8" ht="14.25" customHeight="1">
      <c r="B62" s="55">
        <v>2</v>
      </c>
      <c r="C62" s="64" t="s">
        <v>158</v>
      </c>
      <c r="D62" s="55"/>
      <c r="E62" s="55">
        <v>2</v>
      </c>
      <c r="F62" s="57">
        <v>90000</v>
      </c>
      <c r="G62" s="57">
        <f>F62*E62</f>
        <v>180000</v>
      </c>
      <c r="H62" s="58">
        <v>30</v>
      </c>
    </row>
    <row r="63" spans="2:8" ht="14.25" customHeight="1">
      <c r="B63" s="55">
        <v>3</v>
      </c>
      <c r="C63" s="64" t="s">
        <v>173</v>
      </c>
      <c r="D63" s="55"/>
      <c r="E63" s="55">
        <v>1</v>
      </c>
      <c r="F63" s="57">
        <v>160000</v>
      </c>
      <c r="G63" s="57">
        <f t="shared" ref="G63:G64" si="6">F63</f>
        <v>160000</v>
      </c>
      <c r="H63" s="58">
        <v>7.5</v>
      </c>
    </row>
    <row r="64" spans="2:8" ht="14.25" customHeight="1">
      <c r="B64" s="55">
        <v>4</v>
      </c>
      <c r="C64" s="64" t="s">
        <v>174</v>
      </c>
      <c r="D64" s="55"/>
      <c r="E64" s="55">
        <v>1</v>
      </c>
      <c r="F64" s="57">
        <v>165000</v>
      </c>
      <c r="G64" s="57">
        <f t="shared" si="6"/>
        <v>165000</v>
      </c>
      <c r="H64" s="58">
        <v>5</v>
      </c>
    </row>
    <row r="65" spans="2:9" ht="14.25" customHeight="1">
      <c r="B65" s="59" t="s">
        <v>175</v>
      </c>
      <c r="C65" s="68" t="s">
        <v>176</v>
      </c>
      <c r="D65" s="55"/>
      <c r="E65" s="55"/>
      <c r="F65" s="57"/>
      <c r="G65" s="57"/>
      <c r="H65" s="58"/>
    </row>
    <row r="66" spans="2:9" ht="14.25" customHeight="1">
      <c r="B66" s="55">
        <v>1</v>
      </c>
      <c r="C66" s="64" t="s">
        <v>177</v>
      </c>
      <c r="D66" s="55"/>
      <c r="E66" s="55">
        <v>1</v>
      </c>
      <c r="F66" s="57">
        <v>40000</v>
      </c>
      <c r="G66" s="57">
        <f t="shared" ref="G66:G67" si="7">E66*F66</f>
        <v>40000</v>
      </c>
      <c r="H66" s="58"/>
    </row>
    <row r="67" spans="2:9" ht="14.25" customHeight="1">
      <c r="B67" s="55">
        <v>2</v>
      </c>
      <c r="C67" s="64" t="s">
        <v>178</v>
      </c>
      <c r="D67" s="55"/>
      <c r="E67" s="55">
        <v>1</v>
      </c>
      <c r="F67" s="57">
        <v>85000</v>
      </c>
      <c r="G67" s="57">
        <f t="shared" si="7"/>
        <v>85000</v>
      </c>
      <c r="H67" s="58"/>
    </row>
    <row r="68" spans="2:9" ht="14.25" customHeight="1">
      <c r="B68" s="55">
        <v>3</v>
      </c>
      <c r="C68" s="64" t="s">
        <v>147</v>
      </c>
      <c r="D68" s="55"/>
      <c r="E68" s="55"/>
      <c r="F68" s="57"/>
      <c r="G68" s="57">
        <f>SUM(G50:G67)*18%</f>
        <v>211500</v>
      </c>
      <c r="H68" s="58"/>
    </row>
    <row r="69" spans="2:9" ht="14.25" customHeight="1">
      <c r="B69" s="55"/>
      <c r="C69" s="64"/>
      <c r="D69" s="55"/>
      <c r="E69" s="55"/>
      <c r="F69" s="57"/>
      <c r="G69" s="57"/>
      <c r="H69" s="58"/>
    </row>
    <row r="70" spans="2:9" ht="14.25" customHeight="1">
      <c r="B70" s="368" t="s">
        <v>157</v>
      </c>
      <c r="C70" s="348"/>
      <c r="D70" s="59"/>
      <c r="E70" s="59"/>
      <c r="F70" s="65"/>
      <c r="G70" s="65">
        <f t="shared" ref="G70:H70" si="8">SUM(G50:G68)</f>
        <v>1386500</v>
      </c>
      <c r="H70" s="65">
        <f t="shared" si="8"/>
        <v>53</v>
      </c>
    </row>
    <row r="71" spans="2:9" ht="14.25" customHeight="1">
      <c r="B71" s="55"/>
      <c r="C71" s="67"/>
      <c r="D71" s="55"/>
      <c r="E71" s="59"/>
      <c r="F71" s="57"/>
      <c r="G71" s="65"/>
      <c r="H71" s="58"/>
    </row>
    <row r="72" spans="2:9" ht="14.25" customHeight="1">
      <c r="B72" s="59" t="s">
        <v>179</v>
      </c>
      <c r="C72" s="60" t="s">
        <v>180</v>
      </c>
      <c r="D72" s="55"/>
      <c r="E72" s="55"/>
      <c r="F72" s="57"/>
      <c r="G72" s="57"/>
      <c r="H72" s="58"/>
    </row>
    <row r="73" spans="2:9" ht="14.25" customHeight="1">
      <c r="B73" s="55">
        <v>1</v>
      </c>
      <c r="C73" s="67" t="s">
        <v>180</v>
      </c>
      <c r="D73" s="55"/>
      <c r="E73" s="55">
        <v>1</v>
      </c>
      <c r="F73" s="57">
        <v>157639.09999999998</v>
      </c>
      <c r="G73" s="57">
        <f t="shared" ref="G73:G74" si="9">E73*F73</f>
        <v>157639.09999999998</v>
      </c>
      <c r="H73" s="58"/>
      <c r="I73" s="21">
        <f>G73-G74</f>
        <v>-48832.900000000023</v>
      </c>
    </row>
    <row r="74" spans="2:9" ht="14.25" customHeight="1">
      <c r="B74" s="55">
        <v>2</v>
      </c>
      <c r="C74" s="64" t="s">
        <v>181</v>
      </c>
      <c r="D74" s="67"/>
      <c r="E74" s="55">
        <v>1</v>
      </c>
      <c r="F74" s="57">
        <v>206472</v>
      </c>
      <c r="G74" s="57">
        <f t="shared" si="9"/>
        <v>206472</v>
      </c>
      <c r="H74" s="58"/>
    </row>
    <row r="75" spans="2:9" ht="14.25" customHeight="1">
      <c r="B75" s="365" t="s">
        <v>157</v>
      </c>
      <c r="C75" s="348"/>
      <c r="D75" s="67"/>
      <c r="E75" s="55"/>
      <c r="F75" s="57"/>
      <c r="G75" s="65">
        <f>SUM(G73:G74)</f>
        <v>364111.1</v>
      </c>
      <c r="H75" s="69">
        <v>10</v>
      </c>
    </row>
    <row r="76" spans="2:9" ht="14.25" customHeight="1">
      <c r="B76" s="59"/>
      <c r="C76" s="59"/>
      <c r="D76" s="67"/>
      <c r="E76" s="55"/>
      <c r="F76" s="57"/>
      <c r="G76" s="57"/>
      <c r="H76" s="70"/>
    </row>
    <row r="77" spans="2:9" ht="14.25" customHeight="1">
      <c r="B77" s="59" t="s">
        <v>182</v>
      </c>
      <c r="C77" s="68" t="s">
        <v>183</v>
      </c>
      <c r="D77" s="67"/>
      <c r="E77" s="55"/>
      <c r="F77" s="57"/>
      <c r="G77" s="57"/>
      <c r="H77" s="58"/>
    </row>
    <row r="78" spans="2:9" ht="14.25" customHeight="1">
      <c r="B78" s="55">
        <v>1</v>
      </c>
      <c r="C78" t="s">
        <v>184</v>
      </c>
      <c r="D78" s="67" t="s">
        <v>185</v>
      </c>
      <c r="E78" s="55">
        <v>100</v>
      </c>
      <c r="F78" s="57">
        <v>50000</v>
      </c>
      <c r="G78" s="57">
        <f>E78*F78</f>
        <v>5000000</v>
      </c>
      <c r="H78" s="58"/>
    </row>
    <row r="79" spans="2:9" ht="14.25" customHeight="1">
      <c r="B79" s="55">
        <v>2</v>
      </c>
      <c r="C79" t="s">
        <v>186</v>
      </c>
      <c r="D79" s="67"/>
      <c r="E79" s="55"/>
      <c r="F79" s="57"/>
      <c r="G79" s="57">
        <f>G78*12%</f>
        <v>600000</v>
      </c>
      <c r="H79" s="58"/>
    </row>
    <row r="80" spans="2:9" ht="14.25" customHeight="1">
      <c r="B80" s="365" t="s">
        <v>157</v>
      </c>
      <c r="C80" s="348"/>
      <c r="D80" s="67"/>
      <c r="E80" s="55"/>
      <c r="F80" s="57"/>
      <c r="G80" s="57">
        <f>SUM(G78:G79)</f>
        <v>5600000</v>
      </c>
      <c r="H80" s="58"/>
    </row>
    <row r="81" spans="1:11" ht="14.25" customHeight="1">
      <c r="B81" s="55"/>
      <c r="D81" s="67"/>
      <c r="E81" s="55"/>
      <c r="F81" s="57"/>
      <c r="G81" s="57"/>
      <c r="H81" s="58"/>
    </row>
    <row r="82" spans="1:11" ht="14.25" customHeight="1">
      <c r="B82" s="365" t="s">
        <v>87</v>
      </c>
      <c r="C82" s="347"/>
      <c r="D82" s="347"/>
      <c r="E82" s="347"/>
      <c r="F82" s="348"/>
      <c r="G82" s="65">
        <f>G75+G70+G46+G80</f>
        <v>12597099.24</v>
      </c>
      <c r="H82" s="65" t="e">
        <f>#REF!+H20+H75+#REF!</f>
        <v>#REF!</v>
      </c>
    </row>
    <row r="83" spans="1:11" ht="14.25" customHeight="1">
      <c r="B83" s="54"/>
      <c r="G83" s="71"/>
      <c r="I83" s="21"/>
    </row>
    <row r="84" spans="1:11" ht="14.25" customHeight="1">
      <c r="B84" s="362" t="s">
        <v>187</v>
      </c>
      <c r="C84" s="360"/>
      <c r="D84" s="360"/>
      <c r="E84" s="360"/>
      <c r="F84" s="360"/>
      <c r="G84" s="360"/>
      <c r="H84" s="360"/>
    </row>
    <row r="85" spans="1:11" ht="14.25" customHeight="1">
      <c r="B85" s="54"/>
      <c r="G85" s="71"/>
      <c r="I85" s="54"/>
      <c r="J85" s="54"/>
      <c r="K85" s="71"/>
    </row>
    <row r="86" spans="1:11" ht="14.25" customHeight="1"/>
    <row r="87" spans="1:11" ht="14.25" customHeight="1"/>
    <row r="88" spans="1:11" ht="14.25" customHeight="1">
      <c r="A88">
        <v>2.2999999999999998</v>
      </c>
      <c r="B88" s="359" t="s">
        <v>188</v>
      </c>
      <c r="C88" s="360"/>
      <c r="D88" s="360"/>
      <c r="E88" s="360"/>
      <c r="F88" s="360"/>
    </row>
    <row r="89" spans="1:11" ht="14.25" customHeight="1"/>
    <row r="90" spans="1:11" ht="14.25" customHeight="1">
      <c r="B90" s="72" t="s">
        <v>81</v>
      </c>
      <c r="C90" s="73" t="s">
        <v>82</v>
      </c>
      <c r="D90" s="73" t="s">
        <v>128</v>
      </c>
      <c r="E90" s="73" t="s">
        <v>129</v>
      </c>
      <c r="F90" s="73" t="s">
        <v>83</v>
      </c>
    </row>
    <row r="91" spans="1:11" ht="14.25" customHeight="1">
      <c r="B91" s="74"/>
      <c r="C91" s="75"/>
      <c r="D91" s="74"/>
      <c r="E91" s="76"/>
      <c r="F91" s="77"/>
    </row>
    <row r="92" spans="1:11" ht="14.25" customHeight="1">
      <c r="B92" s="74"/>
      <c r="C92" s="75"/>
      <c r="D92" s="74"/>
      <c r="E92" s="76"/>
      <c r="F92" s="77"/>
    </row>
    <row r="93" spans="1:11" ht="14.25" customHeight="1">
      <c r="B93" s="74"/>
      <c r="C93" s="75"/>
      <c r="D93" s="74"/>
      <c r="E93" s="76"/>
      <c r="F93" s="77"/>
    </row>
    <row r="94" spans="1:11" ht="14.25" customHeight="1">
      <c r="B94" s="74"/>
      <c r="C94" s="75"/>
      <c r="D94" s="74"/>
      <c r="E94" s="76"/>
      <c r="F94" s="77"/>
    </row>
    <row r="95" spans="1:11" ht="14.25" customHeight="1">
      <c r="B95" s="74"/>
      <c r="C95" s="75"/>
      <c r="D95" s="74"/>
      <c r="E95" s="76"/>
      <c r="F95" s="77"/>
    </row>
    <row r="96" spans="1:11" ht="14.25" customHeight="1">
      <c r="B96" s="74"/>
      <c r="C96" s="75"/>
      <c r="D96" s="74"/>
      <c r="E96" s="76"/>
      <c r="F96" s="77"/>
    </row>
    <row r="97" spans="1:7" ht="14.25" customHeight="1">
      <c r="B97" s="74"/>
      <c r="C97" s="75"/>
      <c r="D97" s="74"/>
      <c r="E97" s="76"/>
      <c r="F97" s="77"/>
    </row>
    <row r="98" spans="1:7" ht="14.25" customHeight="1">
      <c r="B98" s="74"/>
      <c r="C98" s="75"/>
      <c r="D98" s="74"/>
      <c r="E98" s="76"/>
      <c r="F98" s="77"/>
    </row>
    <row r="99" spans="1:7" ht="14.25" customHeight="1">
      <c r="B99" s="74"/>
      <c r="C99" s="75"/>
      <c r="D99" s="74"/>
      <c r="E99" s="76"/>
      <c r="F99" s="77"/>
    </row>
    <row r="100" spans="1:7" ht="14.25" customHeight="1">
      <c r="B100" s="74"/>
      <c r="C100" s="75"/>
      <c r="D100" s="74"/>
      <c r="E100" s="76"/>
      <c r="F100" s="77"/>
    </row>
    <row r="101" spans="1:7" ht="14.25" customHeight="1">
      <c r="B101" s="74"/>
      <c r="C101" s="75"/>
      <c r="D101" s="74"/>
      <c r="E101" s="76"/>
      <c r="F101" s="77"/>
    </row>
    <row r="102" spans="1:7" ht="14.25" customHeight="1">
      <c r="B102" s="74"/>
      <c r="C102" s="75"/>
      <c r="D102" s="74"/>
      <c r="E102" s="76"/>
      <c r="F102" s="77"/>
    </row>
    <row r="103" spans="1:7" ht="14.25" customHeight="1">
      <c r="B103" s="74"/>
      <c r="C103" s="75"/>
      <c r="D103" s="74"/>
      <c r="E103" s="76"/>
      <c r="F103" s="77"/>
    </row>
    <row r="104" spans="1:7" ht="14.25" customHeight="1">
      <c r="B104" s="74"/>
      <c r="C104" s="75"/>
      <c r="D104" s="74"/>
      <c r="E104" s="76"/>
      <c r="F104" s="77"/>
    </row>
    <row r="105" spans="1:7" ht="14.25" customHeight="1">
      <c r="B105" s="74"/>
      <c r="C105" s="75"/>
      <c r="D105" s="74"/>
      <c r="E105" s="76"/>
      <c r="F105" s="77"/>
    </row>
    <row r="106" spans="1:7" ht="14.25" customHeight="1">
      <c r="B106" s="74"/>
      <c r="C106" s="75"/>
      <c r="D106" s="74"/>
      <c r="E106" s="76"/>
      <c r="F106" s="77"/>
    </row>
    <row r="107" spans="1:7" ht="14.25" customHeight="1">
      <c r="B107" s="74"/>
      <c r="C107" s="75"/>
      <c r="D107" s="74"/>
      <c r="E107" s="78"/>
      <c r="F107" s="77"/>
    </row>
    <row r="108" spans="1:7" ht="14.25" customHeight="1">
      <c r="B108" s="74"/>
      <c r="C108" s="75"/>
      <c r="D108" s="74"/>
      <c r="E108" s="78"/>
      <c r="F108" s="77"/>
    </row>
    <row r="109" spans="1:7" ht="14.25" customHeight="1">
      <c r="B109" s="367" t="s">
        <v>87</v>
      </c>
      <c r="C109" s="347"/>
      <c r="D109" s="347"/>
      <c r="E109" s="348"/>
      <c r="F109" s="79">
        <f>SUM(F91:F108)</f>
        <v>0</v>
      </c>
    </row>
    <row r="110" spans="1:7" ht="14.25" customHeight="1"/>
    <row r="111" spans="1:7" ht="14.25" customHeight="1">
      <c r="A111" s="362" t="s">
        <v>189</v>
      </c>
      <c r="B111" s="360"/>
      <c r="C111" s="360"/>
      <c r="D111" s="360"/>
      <c r="E111" s="360"/>
      <c r="F111" s="360"/>
      <c r="G111" s="360"/>
    </row>
    <row r="112" spans="1:7" ht="14.25" customHeight="1"/>
    <row r="113" spans="1:6" ht="14.25" customHeight="1"/>
    <row r="114" spans="1:6" ht="14.25" customHeight="1">
      <c r="A114">
        <v>2.4</v>
      </c>
      <c r="B114" s="359" t="s">
        <v>190</v>
      </c>
      <c r="C114" s="360"/>
      <c r="D114" s="360"/>
      <c r="E114" s="360"/>
      <c r="F114" s="360"/>
    </row>
    <row r="115" spans="1:6" ht="14.25" customHeight="1"/>
    <row r="116" spans="1:6" ht="14.25" customHeight="1">
      <c r="B116" s="72" t="s">
        <v>81</v>
      </c>
      <c r="C116" s="73" t="s">
        <v>82</v>
      </c>
      <c r="D116" s="73" t="s">
        <v>128</v>
      </c>
      <c r="E116" s="73" t="s">
        <v>129</v>
      </c>
      <c r="F116" s="73" t="s">
        <v>83</v>
      </c>
    </row>
    <row r="117" spans="1:6" ht="14.25" customHeight="1">
      <c r="B117" s="74"/>
      <c r="C117" s="75" t="s">
        <v>191</v>
      </c>
      <c r="D117" s="74">
        <v>1</v>
      </c>
      <c r="E117" s="76">
        <v>140000</v>
      </c>
      <c r="F117" s="77">
        <f>E117</f>
        <v>140000</v>
      </c>
    </row>
    <row r="118" spans="1:6" ht="14.25" customHeight="1">
      <c r="B118" s="74"/>
      <c r="C118" s="75"/>
      <c r="D118" s="74"/>
      <c r="E118" s="76"/>
      <c r="F118" s="77"/>
    </row>
    <row r="119" spans="1:6" ht="14.25" customHeight="1">
      <c r="B119" s="74"/>
      <c r="C119" s="75"/>
      <c r="D119" s="74"/>
      <c r="E119" s="76"/>
      <c r="F119" s="77"/>
    </row>
    <row r="120" spans="1:6" ht="14.25" customHeight="1">
      <c r="B120" s="74"/>
      <c r="C120" s="75"/>
      <c r="D120" s="74"/>
      <c r="E120" s="76"/>
      <c r="F120" s="77"/>
    </row>
    <row r="121" spans="1:6" ht="14.25" customHeight="1">
      <c r="B121" s="74"/>
      <c r="C121" s="75"/>
      <c r="D121" s="74"/>
      <c r="E121" s="76"/>
      <c r="F121" s="77"/>
    </row>
    <row r="122" spans="1:6" ht="14.25" customHeight="1">
      <c r="B122" s="74">
        <v>6</v>
      </c>
      <c r="C122" s="75"/>
      <c r="D122" s="74"/>
      <c r="E122" s="76"/>
      <c r="F122" s="77"/>
    </row>
    <row r="123" spans="1:6" ht="14.25" customHeight="1">
      <c r="B123" s="74">
        <v>7</v>
      </c>
      <c r="C123" s="75"/>
      <c r="D123" s="74"/>
      <c r="E123" s="76"/>
      <c r="F123" s="77"/>
    </row>
    <row r="124" spans="1:6" ht="14.25" customHeight="1">
      <c r="B124" s="74">
        <v>8</v>
      </c>
      <c r="C124" s="75"/>
      <c r="D124" s="74"/>
      <c r="E124" s="76"/>
      <c r="F124" s="77"/>
    </row>
    <row r="125" spans="1:6" ht="14.25" customHeight="1">
      <c r="B125" s="74">
        <v>9</v>
      </c>
      <c r="C125" s="75"/>
      <c r="D125" s="74"/>
      <c r="E125" s="76"/>
      <c r="F125" s="77"/>
    </row>
    <row r="126" spans="1:6" ht="14.25" customHeight="1">
      <c r="B126" s="74">
        <v>10</v>
      </c>
      <c r="C126" s="75"/>
      <c r="D126" s="74"/>
      <c r="E126" s="76"/>
      <c r="F126" s="77"/>
    </row>
    <row r="127" spans="1:6" ht="14.25" customHeight="1">
      <c r="B127" s="74">
        <v>11</v>
      </c>
      <c r="C127" s="75"/>
      <c r="D127" s="74"/>
      <c r="E127" s="76"/>
      <c r="F127" s="77"/>
    </row>
    <row r="128" spans="1:6" ht="14.25" customHeight="1">
      <c r="B128" s="74">
        <v>12</v>
      </c>
      <c r="C128" s="75"/>
      <c r="D128" s="74"/>
      <c r="E128" s="76"/>
      <c r="F128" s="77"/>
    </row>
    <row r="129" spans="2:6" ht="14.25" customHeight="1">
      <c r="B129" s="74">
        <v>13</v>
      </c>
      <c r="C129" s="75"/>
      <c r="D129" s="74"/>
      <c r="E129" s="76"/>
      <c r="F129" s="77"/>
    </row>
    <row r="130" spans="2:6" ht="14.25" customHeight="1">
      <c r="B130" s="74">
        <v>14</v>
      </c>
      <c r="C130" s="75"/>
      <c r="D130" s="74"/>
      <c r="E130" s="76"/>
      <c r="F130" s="77"/>
    </row>
    <row r="131" spans="2:6" ht="14.25" customHeight="1">
      <c r="B131" s="74">
        <v>15</v>
      </c>
      <c r="C131" s="75"/>
      <c r="D131" s="74"/>
      <c r="E131" s="76"/>
      <c r="F131" s="77"/>
    </row>
    <row r="132" spans="2:6" ht="14.25" customHeight="1">
      <c r="B132" s="74">
        <v>16</v>
      </c>
      <c r="C132" s="75"/>
      <c r="D132" s="74"/>
      <c r="E132" s="76"/>
      <c r="F132" s="77"/>
    </row>
    <row r="133" spans="2:6" ht="14.25" customHeight="1">
      <c r="B133" s="74">
        <v>17</v>
      </c>
      <c r="C133" s="75"/>
      <c r="D133" s="74"/>
      <c r="E133" s="76"/>
      <c r="F133" s="77"/>
    </row>
    <row r="134" spans="2:6" ht="14.25" customHeight="1">
      <c r="B134" s="74">
        <v>18</v>
      </c>
      <c r="C134" s="75"/>
      <c r="D134" s="74"/>
      <c r="E134" s="76"/>
      <c r="F134" s="77"/>
    </row>
    <row r="135" spans="2:6" ht="14.25" customHeight="1">
      <c r="B135" s="74">
        <v>19</v>
      </c>
      <c r="C135" s="75"/>
      <c r="D135" s="74"/>
      <c r="E135" s="76"/>
      <c r="F135" s="77"/>
    </row>
    <row r="136" spans="2:6" ht="12" customHeight="1">
      <c r="B136" s="74">
        <v>20</v>
      </c>
      <c r="C136" s="75"/>
      <c r="D136" s="74"/>
      <c r="E136" s="76"/>
      <c r="F136" s="77"/>
    </row>
    <row r="137" spans="2:6" ht="14.25" customHeight="1">
      <c r="B137" s="74">
        <v>21</v>
      </c>
      <c r="C137" s="75"/>
      <c r="D137" s="74"/>
      <c r="E137" s="76"/>
      <c r="F137" s="77"/>
    </row>
    <row r="138" spans="2:6" ht="14.25" customHeight="1">
      <c r="B138" s="74">
        <v>22</v>
      </c>
      <c r="C138" s="75"/>
      <c r="D138" s="74"/>
      <c r="E138" s="76"/>
      <c r="F138" s="77"/>
    </row>
    <row r="139" spans="2:6" ht="14.25" customHeight="1">
      <c r="B139" s="74">
        <v>23</v>
      </c>
      <c r="C139" s="75"/>
      <c r="D139" s="74"/>
      <c r="E139" s="76"/>
      <c r="F139" s="77"/>
    </row>
    <row r="140" spans="2:6" ht="14.25" customHeight="1">
      <c r="B140" s="74">
        <v>24</v>
      </c>
      <c r="C140" s="75"/>
      <c r="D140" s="74"/>
      <c r="E140" s="76"/>
      <c r="F140" s="77"/>
    </row>
    <row r="141" spans="2:6" ht="14.25" customHeight="1">
      <c r="B141" s="74">
        <v>25</v>
      </c>
      <c r="C141" s="75"/>
      <c r="D141" s="74"/>
      <c r="E141" s="76"/>
      <c r="F141" s="77"/>
    </row>
    <row r="142" spans="2:6" ht="14.25" customHeight="1">
      <c r="B142" s="74">
        <v>26</v>
      </c>
      <c r="C142" s="75"/>
      <c r="D142" s="74"/>
      <c r="E142" s="76"/>
      <c r="F142" s="77"/>
    </row>
    <row r="143" spans="2:6" ht="14.25" customHeight="1">
      <c r="B143" s="367" t="s">
        <v>87</v>
      </c>
      <c r="C143" s="347"/>
      <c r="D143" s="347"/>
      <c r="E143" s="348"/>
      <c r="F143" s="79">
        <f>SUM(F117:F142)</f>
        <v>140000</v>
      </c>
    </row>
    <row r="144" spans="2:6" ht="14.25" customHeight="1"/>
    <row r="145" spans="1:7" ht="14.25" customHeight="1">
      <c r="A145" s="362" t="s">
        <v>189</v>
      </c>
      <c r="B145" s="360"/>
      <c r="C145" s="360"/>
      <c r="D145" s="360"/>
      <c r="E145" s="360"/>
      <c r="F145" s="360"/>
      <c r="G145" s="360"/>
    </row>
    <row r="146" spans="1:7" ht="14.25" customHeight="1"/>
    <row r="147" spans="1:7" ht="14.25" customHeight="1"/>
    <row r="148" spans="1:7" ht="14.25" customHeight="1">
      <c r="A148">
        <v>2.5</v>
      </c>
      <c r="B148" s="359" t="s">
        <v>192</v>
      </c>
      <c r="C148" s="360"/>
      <c r="D148" s="360"/>
      <c r="E148" s="360"/>
      <c r="F148" s="360"/>
    </row>
    <row r="149" spans="1:7" ht="14.25" customHeight="1"/>
    <row r="150" spans="1:7" ht="14.25" customHeight="1">
      <c r="B150" s="80" t="s">
        <v>81</v>
      </c>
      <c r="C150" s="42" t="s">
        <v>82</v>
      </c>
      <c r="D150" s="42" t="s">
        <v>128</v>
      </c>
      <c r="E150" s="42" t="s">
        <v>129</v>
      </c>
      <c r="F150" s="42" t="s">
        <v>83</v>
      </c>
    </row>
    <row r="151" spans="1:7" ht="14.25" customHeight="1">
      <c r="B151" s="81"/>
      <c r="C151" s="82"/>
      <c r="D151" s="81"/>
      <c r="E151" s="83"/>
      <c r="F151" s="70"/>
    </row>
    <row r="152" spans="1:7" ht="14.25" customHeight="1">
      <c r="B152" s="81"/>
      <c r="C152" s="82"/>
      <c r="D152" s="81"/>
      <c r="E152" s="83"/>
      <c r="F152" s="70"/>
    </row>
    <row r="153" spans="1:7" ht="14.25" customHeight="1">
      <c r="B153" s="81"/>
      <c r="C153" s="82"/>
      <c r="D153" s="81"/>
      <c r="E153" s="83"/>
      <c r="F153" s="70"/>
    </row>
    <row r="154" spans="1:7" ht="14.25" customHeight="1">
      <c r="B154" s="81"/>
      <c r="C154" s="82"/>
      <c r="D154" s="81"/>
      <c r="E154" s="83"/>
      <c r="F154" s="70"/>
    </row>
    <row r="155" spans="1:7" ht="14.25" customHeight="1">
      <c r="B155" s="81"/>
      <c r="C155" s="82"/>
      <c r="D155" s="81"/>
      <c r="E155" s="83"/>
      <c r="F155" s="70"/>
    </row>
    <row r="156" spans="1:7" ht="14.25" customHeight="1">
      <c r="B156" s="366"/>
      <c r="C156" s="348"/>
      <c r="D156" s="84"/>
      <c r="E156" s="85"/>
      <c r="F156" s="69"/>
    </row>
    <row r="157" spans="1:7" ht="14.25" customHeight="1">
      <c r="B157" s="81"/>
      <c r="C157" s="82"/>
      <c r="D157" s="81"/>
      <c r="E157" s="83"/>
      <c r="F157" s="70"/>
    </row>
    <row r="158" spans="1:7" ht="14.25" customHeight="1">
      <c r="B158" s="81"/>
      <c r="C158" s="82"/>
      <c r="D158" s="81"/>
      <c r="E158" s="83"/>
      <c r="F158" s="70"/>
    </row>
    <row r="159" spans="1:7" ht="14.25" customHeight="1">
      <c r="B159" s="81"/>
      <c r="C159" s="82"/>
      <c r="D159" s="81"/>
      <c r="E159" s="83"/>
      <c r="F159" s="70"/>
    </row>
    <row r="160" spans="1:7" ht="14.25" customHeight="1">
      <c r="B160" s="81"/>
      <c r="C160" s="82"/>
      <c r="D160" s="81"/>
      <c r="E160" s="83"/>
      <c r="F160" s="70"/>
    </row>
    <row r="161" spans="1:7" ht="14.25" customHeight="1">
      <c r="B161" s="81"/>
      <c r="C161" s="82"/>
      <c r="D161" s="81"/>
      <c r="E161" s="83"/>
      <c r="F161" s="70"/>
    </row>
    <row r="162" spans="1:7" ht="14.25" customHeight="1">
      <c r="B162" s="81"/>
      <c r="C162" s="82"/>
      <c r="D162" s="81"/>
      <c r="E162" s="83"/>
      <c r="F162" s="70"/>
    </row>
    <row r="163" spans="1:7" ht="14.25" customHeight="1">
      <c r="B163" s="366"/>
      <c r="C163" s="348"/>
      <c r="D163" s="84"/>
      <c r="E163" s="85"/>
      <c r="F163" s="69"/>
    </row>
    <row r="164" spans="1:7" ht="14.25" customHeight="1">
      <c r="B164" s="81"/>
      <c r="C164" s="82"/>
      <c r="D164" s="81"/>
      <c r="E164" s="83"/>
      <c r="F164" s="70"/>
    </row>
    <row r="165" spans="1:7" ht="14.25" customHeight="1">
      <c r="B165" s="81"/>
      <c r="C165" s="82"/>
      <c r="D165" s="81"/>
      <c r="E165" s="83"/>
      <c r="F165" s="70"/>
    </row>
    <row r="166" spans="1:7" ht="14.25" customHeight="1">
      <c r="B166" s="81"/>
      <c r="C166" s="82"/>
      <c r="D166" s="81"/>
      <c r="E166" s="83"/>
      <c r="F166" s="70"/>
    </row>
    <row r="167" spans="1:7" ht="14.25" customHeight="1">
      <c r="B167" s="81"/>
      <c r="C167" s="82"/>
      <c r="D167" s="81"/>
      <c r="E167" s="83"/>
      <c r="F167" s="70"/>
    </row>
    <row r="168" spans="1:7" ht="14.25" customHeight="1">
      <c r="B168" s="81"/>
      <c r="C168" s="82"/>
      <c r="D168" s="81"/>
      <c r="E168" s="83"/>
      <c r="F168" s="70"/>
    </row>
    <row r="169" spans="1:7" ht="14.25" customHeight="1">
      <c r="B169" s="81"/>
      <c r="C169" s="82"/>
      <c r="D169" s="81"/>
      <c r="E169" s="83"/>
      <c r="F169" s="70"/>
    </row>
    <row r="170" spans="1:7" ht="14.25" customHeight="1">
      <c r="B170" s="81"/>
      <c r="C170" s="82"/>
      <c r="D170" s="81"/>
      <c r="E170" s="83"/>
      <c r="F170" s="70"/>
    </row>
    <row r="171" spans="1:7" ht="14.25" customHeight="1">
      <c r="B171" s="366" t="s">
        <v>157</v>
      </c>
      <c r="C171" s="348"/>
      <c r="D171" s="84"/>
      <c r="E171" s="85"/>
      <c r="F171" s="69">
        <f>SUM(F164:F170)</f>
        <v>0</v>
      </c>
    </row>
    <row r="172" spans="1:7" ht="14.25" customHeight="1">
      <c r="B172" s="365" t="s">
        <v>87</v>
      </c>
      <c r="C172" s="347"/>
      <c r="D172" s="347"/>
      <c r="E172" s="348"/>
      <c r="F172" s="65">
        <f>F156+F171+F163</f>
        <v>0</v>
      </c>
    </row>
    <row r="173" spans="1:7" ht="14.25" customHeight="1">
      <c r="A173" s="372" t="s">
        <v>193</v>
      </c>
      <c r="B173" s="373"/>
      <c r="C173" s="373"/>
      <c r="D173" s="373"/>
      <c r="E173" s="373"/>
      <c r="F173" s="373"/>
      <c r="G173" s="374"/>
    </row>
    <row r="174" spans="1:7" ht="14.25" customHeight="1"/>
    <row r="175" spans="1:7" ht="14.25" customHeight="1"/>
    <row r="176" spans="1:7" ht="14.25" customHeight="1">
      <c r="A176">
        <v>2.6</v>
      </c>
      <c r="B176" s="359" t="s">
        <v>194</v>
      </c>
      <c r="C176" s="360"/>
      <c r="D176" s="360"/>
    </row>
    <row r="177" spans="1:5" ht="14.25" customHeight="1"/>
    <row r="178" spans="1:5" ht="14.25" customHeight="1">
      <c r="B178" s="86" t="s">
        <v>81</v>
      </c>
      <c r="C178" s="87" t="s">
        <v>82</v>
      </c>
      <c r="D178" s="87" t="s">
        <v>195</v>
      </c>
    </row>
    <row r="179" spans="1:5" ht="14.25" customHeight="1">
      <c r="B179" s="88">
        <v>1</v>
      </c>
      <c r="C179" s="89" t="s">
        <v>196</v>
      </c>
      <c r="D179" s="90">
        <v>30000</v>
      </c>
    </row>
    <row r="180" spans="1:5" ht="14.25" customHeight="1">
      <c r="B180" s="88">
        <v>2</v>
      </c>
      <c r="C180" s="89" t="s">
        <v>197</v>
      </c>
      <c r="D180" s="90">
        <v>70000</v>
      </c>
    </row>
    <row r="181" spans="1:5" ht="14.25" customHeight="1">
      <c r="B181" s="88">
        <v>3</v>
      </c>
      <c r="C181" s="89" t="s">
        <v>198</v>
      </c>
      <c r="D181" s="90">
        <v>35000</v>
      </c>
    </row>
    <row r="182" spans="1:5" ht="14.25" customHeight="1">
      <c r="B182" s="369" t="s">
        <v>87</v>
      </c>
      <c r="C182" s="370"/>
      <c r="D182" s="91">
        <f>SUM(D179:D181)</f>
        <v>135000</v>
      </c>
    </row>
    <row r="183" spans="1:5" ht="14.25" customHeight="1"/>
    <row r="184" spans="1:5" ht="43.5" customHeight="1">
      <c r="A184" s="371" t="s">
        <v>199</v>
      </c>
      <c r="B184" s="360"/>
      <c r="C184" s="360"/>
      <c r="D184" s="360"/>
      <c r="E184" s="360"/>
    </row>
  </sheetData>
  <mergeCells count="25">
    <mergeCell ref="B182:C182"/>
    <mergeCell ref="A184:E184"/>
    <mergeCell ref="A145:G145"/>
    <mergeCell ref="B148:F148"/>
    <mergeCell ref="A173:G173"/>
    <mergeCell ref="B156:C156"/>
    <mergeCell ref="B172:E172"/>
    <mergeCell ref="B176:D176"/>
    <mergeCell ref="B171:C171"/>
    <mergeCell ref="B163:C163"/>
    <mergeCell ref="B75:C75"/>
    <mergeCell ref="B109:E109"/>
    <mergeCell ref="B88:F88"/>
    <mergeCell ref="A111:G111"/>
    <mergeCell ref="B143:E143"/>
    <mergeCell ref="B114:F114"/>
    <mergeCell ref="B11:F11"/>
    <mergeCell ref="B2:G2"/>
    <mergeCell ref="B14:G14"/>
    <mergeCell ref="B84:H84"/>
    <mergeCell ref="B82:F82"/>
    <mergeCell ref="B16:H16"/>
    <mergeCell ref="B46:C46"/>
    <mergeCell ref="B80:C80"/>
    <mergeCell ref="B70:C70"/>
  </mergeCells>
  <pageMargins left="0.7" right="0.7" top="0.75" bottom="0.75" header="0" footer="0"/>
  <pageSetup scale="7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5"/>
  <sheetViews>
    <sheetView topLeftCell="A85" workbookViewId="0">
      <selection activeCell="E78" sqref="E78"/>
    </sheetView>
  </sheetViews>
  <sheetFormatPr defaultColWidth="14.42578125" defaultRowHeight="15" customHeight="1"/>
  <cols>
    <col min="1" max="1" width="50.7109375" bestFit="1" customWidth="1"/>
    <col min="2" max="2" width="14.5703125" customWidth="1"/>
    <col min="3" max="9" width="11.85546875" customWidth="1"/>
    <col min="10" max="10" width="14.7109375" customWidth="1"/>
    <col min="11" max="17" width="11.85546875" customWidth="1"/>
  </cols>
  <sheetData>
    <row r="1" spans="1:11" ht="14.25" customHeight="1"/>
    <row r="2" spans="1:11" ht="14.25" customHeight="1">
      <c r="A2" s="359" t="s">
        <v>200</v>
      </c>
      <c r="B2" s="360"/>
      <c r="C2" s="360"/>
      <c r="D2" s="360"/>
      <c r="E2" s="360"/>
      <c r="F2" s="360"/>
      <c r="G2" s="360"/>
      <c r="H2" s="360"/>
      <c r="I2" s="360"/>
      <c r="J2" s="360"/>
      <c r="K2" s="360"/>
    </row>
    <row r="3" spans="1:11" ht="14.25" customHeight="1"/>
    <row r="4" spans="1:11" ht="14.25" customHeight="1">
      <c r="A4" s="92"/>
      <c r="B4" s="92"/>
      <c r="C4" s="92"/>
      <c r="D4" s="92"/>
      <c r="E4" s="93">
        <v>1</v>
      </c>
      <c r="F4" s="94">
        <f t="shared" ref="F4:K4" si="0">(E4*5%)+E4</f>
        <v>1.05</v>
      </c>
      <c r="G4" s="94">
        <f t="shared" si="0"/>
        <v>1.1025</v>
      </c>
      <c r="H4" s="94">
        <f t="shared" si="0"/>
        <v>1.1576250000000001</v>
      </c>
      <c r="I4" s="94">
        <f t="shared" si="0"/>
        <v>1.2155062500000002</v>
      </c>
      <c r="J4" s="94">
        <f t="shared" si="0"/>
        <v>1.2762815625000004</v>
      </c>
      <c r="K4" s="94">
        <f t="shared" si="0"/>
        <v>1.3400956406250004</v>
      </c>
    </row>
    <row r="5" spans="1:11" ht="14.25" customHeight="1">
      <c r="A5" s="92"/>
      <c r="B5" s="92"/>
      <c r="C5" s="92"/>
      <c r="D5" s="92"/>
      <c r="E5" s="92"/>
      <c r="F5" s="92"/>
      <c r="G5" s="92"/>
      <c r="H5" s="92"/>
      <c r="I5" s="92"/>
      <c r="J5" s="92"/>
      <c r="K5" s="92"/>
    </row>
    <row r="6" spans="1:11" ht="14.25" customHeight="1">
      <c r="A6" s="95" t="s">
        <v>201</v>
      </c>
      <c r="B6" s="95" t="s">
        <v>115</v>
      </c>
      <c r="C6" s="95" t="s">
        <v>202</v>
      </c>
      <c r="D6" s="95" t="s">
        <v>203</v>
      </c>
      <c r="E6" s="96" t="s">
        <v>204</v>
      </c>
      <c r="F6" s="96" t="s">
        <v>205</v>
      </c>
      <c r="G6" s="96" t="s">
        <v>206</v>
      </c>
      <c r="H6" s="96" t="s">
        <v>207</v>
      </c>
      <c r="I6" s="96" t="s">
        <v>208</v>
      </c>
      <c r="J6" s="96" t="s">
        <v>209</v>
      </c>
      <c r="K6" s="96" t="s">
        <v>210</v>
      </c>
    </row>
    <row r="7" spans="1:11" ht="14.25" customHeight="1">
      <c r="A7" s="56"/>
      <c r="B7" s="56"/>
      <c r="C7" s="56"/>
      <c r="D7" s="56"/>
      <c r="E7" s="56"/>
      <c r="F7" s="56"/>
      <c r="G7" s="56"/>
      <c r="H7" s="56"/>
      <c r="I7" s="56"/>
      <c r="J7" s="56"/>
      <c r="K7" s="56"/>
    </row>
    <row r="8" spans="1:11" ht="14.25" customHeight="1">
      <c r="A8" s="56" t="s">
        <v>211</v>
      </c>
      <c r="B8" s="56" t="s">
        <v>212</v>
      </c>
      <c r="C8" s="56">
        <v>1</v>
      </c>
      <c r="D8" s="97">
        <v>30000</v>
      </c>
      <c r="E8" s="97">
        <f t="shared" ref="E8:K8" si="1">$C8*$D8*12*E$4</f>
        <v>360000</v>
      </c>
      <c r="F8" s="97">
        <f t="shared" si="1"/>
        <v>378000</v>
      </c>
      <c r="G8" s="97">
        <f t="shared" si="1"/>
        <v>396900</v>
      </c>
      <c r="H8" s="97">
        <f t="shared" si="1"/>
        <v>416745.00000000006</v>
      </c>
      <c r="I8" s="97">
        <f t="shared" si="1"/>
        <v>437582.25000000006</v>
      </c>
      <c r="J8" s="97">
        <f t="shared" si="1"/>
        <v>459461.3625000001</v>
      </c>
      <c r="K8" s="97">
        <f t="shared" si="1"/>
        <v>482434.43062500015</v>
      </c>
    </row>
    <row r="9" spans="1:11" ht="14.25" customHeight="1">
      <c r="A9" s="56" t="s">
        <v>213</v>
      </c>
      <c r="B9" s="56" t="s">
        <v>212</v>
      </c>
      <c r="C9" s="56">
        <v>1</v>
      </c>
      <c r="D9" s="97">
        <v>20000</v>
      </c>
      <c r="E9" s="97">
        <f t="shared" ref="E9:K9" si="2">$C9*$D9*12*E$4</f>
        <v>240000</v>
      </c>
      <c r="F9" s="97">
        <f t="shared" si="2"/>
        <v>252000</v>
      </c>
      <c r="G9" s="97">
        <f t="shared" si="2"/>
        <v>264600</v>
      </c>
      <c r="H9" s="97">
        <f t="shared" si="2"/>
        <v>277830.00000000006</v>
      </c>
      <c r="I9" s="97">
        <f t="shared" si="2"/>
        <v>291721.50000000006</v>
      </c>
      <c r="J9" s="97">
        <f t="shared" si="2"/>
        <v>306307.57500000007</v>
      </c>
      <c r="K9" s="97">
        <f t="shared" si="2"/>
        <v>321622.9537500001</v>
      </c>
    </row>
    <row r="10" spans="1:11" ht="14.25" customHeight="1">
      <c r="A10" s="56" t="s">
        <v>214</v>
      </c>
      <c r="B10" s="56" t="s">
        <v>212</v>
      </c>
      <c r="C10" s="56">
        <v>1</v>
      </c>
      <c r="D10" s="97">
        <v>20000</v>
      </c>
      <c r="E10" s="97">
        <f t="shared" ref="E10:K10" si="3">$C10*$D10*12*E$4</f>
        <v>240000</v>
      </c>
      <c r="F10" s="97">
        <f t="shared" si="3"/>
        <v>252000</v>
      </c>
      <c r="G10" s="97">
        <f t="shared" si="3"/>
        <v>264600</v>
      </c>
      <c r="H10" s="97">
        <f t="shared" si="3"/>
        <v>277830.00000000006</v>
      </c>
      <c r="I10" s="97">
        <f t="shared" si="3"/>
        <v>291721.50000000006</v>
      </c>
      <c r="J10" s="97">
        <f t="shared" si="3"/>
        <v>306307.57500000007</v>
      </c>
      <c r="K10" s="97">
        <f t="shared" si="3"/>
        <v>321622.9537500001</v>
      </c>
    </row>
    <row r="11" spans="1:11" ht="14.25" customHeight="1">
      <c r="A11" s="56" t="s">
        <v>215</v>
      </c>
      <c r="B11" s="56" t="s">
        <v>212</v>
      </c>
      <c r="C11" s="56">
        <v>2</v>
      </c>
      <c r="D11" s="97">
        <v>8000</v>
      </c>
      <c r="E11" s="97">
        <f t="shared" ref="E11:K11" si="4">$C11*$D11*12*E$4</f>
        <v>192000</v>
      </c>
      <c r="F11" s="97">
        <f t="shared" si="4"/>
        <v>201600</v>
      </c>
      <c r="G11" s="97">
        <f t="shared" si="4"/>
        <v>211680</v>
      </c>
      <c r="H11" s="97">
        <f t="shared" si="4"/>
        <v>222264.00000000003</v>
      </c>
      <c r="I11" s="97">
        <f t="shared" si="4"/>
        <v>233377.20000000004</v>
      </c>
      <c r="J11" s="97">
        <f t="shared" si="4"/>
        <v>245046.06000000006</v>
      </c>
      <c r="K11" s="97">
        <f t="shared" si="4"/>
        <v>257298.36300000007</v>
      </c>
    </row>
    <row r="12" spans="1:11" ht="14.25" customHeight="1">
      <c r="A12" s="56" t="s">
        <v>216</v>
      </c>
      <c r="B12" s="56" t="s">
        <v>217</v>
      </c>
      <c r="C12" s="56">
        <v>12</v>
      </c>
      <c r="D12" s="97">
        <v>5000</v>
      </c>
      <c r="E12" s="97">
        <f t="shared" ref="E12:K12" si="5">$C12*$D12*E$4</f>
        <v>60000</v>
      </c>
      <c r="F12" s="97">
        <f t="shared" si="5"/>
        <v>63000</v>
      </c>
      <c r="G12" s="97">
        <f t="shared" si="5"/>
        <v>66150</v>
      </c>
      <c r="H12" s="97">
        <f t="shared" si="5"/>
        <v>69457.500000000015</v>
      </c>
      <c r="I12" s="97">
        <f t="shared" si="5"/>
        <v>72930.375000000015</v>
      </c>
      <c r="J12" s="97">
        <f t="shared" si="5"/>
        <v>76576.893750000017</v>
      </c>
      <c r="K12" s="97">
        <f t="shared" si="5"/>
        <v>80405.738437500026</v>
      </c>
    </row>
    <row r="13" spans="1:11" ht="14.25" customHeight="1">
      <c r="A13" s="56" t="s">
        <v>218</v>
      </c>
      <c r="B13" s="56" t="s">
        <v>217</v>
      </c>
      <c r="C13" s="56">
        <v>12</v>
      </c>
      <c r="D13" s="97">
        <v>5000</v>
      </c>
      <c r="E13" s="97">
        <f>$C13*$D13*E$4</f>
        <v>60000</v>
      </c>
      <c r="F13" s="97">
        <f t="shared" ref="E13:K13" si="6">$C13*$D13*F$4</f>
        <v>63000</v>
      </c>
      <c r="G13" s="97">
        <f t="shared" si="6"/>
        <v>66150</v>
      </c>
      <c r="H13" s="97">
        <f t="shared" si="6"/>
        <v>69457.500000000015</v>
      </c>
      <c r="I13" s="97">
        <f t="shared" si="6"/>
        <v>72930.375000000015</v>
      </c>
      <c r="J13" s="97">
        <f t="shared" si="6"/>
        <v>76576.893750000017</v>
      </c>
      <c r="K13" s="97">
        <f t="shared" si="6"/>
        <v>80405.738437500026</v>
      </c>
    </row>
    <row r="14" spans="1:11" ht="14.25" customHeight="1">
      <c r="A14" s="56" t="s">
        <v>219</v>
      </c>
      <c r="B14" s="56" t="s">
        <v>217</v>
      </c>
      <c r="C14" s="56">
        <v>12</v>
      </c>
      <c r="D14" s="97">
        <v>5000</v>
      </c>
      <c r="E14" s="97">
        <f t="shared" ref="E14:K14" si="7">$C14*$D14*E$4</f>
        <v>60000</v>
      </c>
      <c r="F14" s="97">
        <f t="shared" si="7"/>
        <v>63000</v>
      </c>
      <c r="G14" s="97">
        <f t="shared" si="7"/>
        <v>66150</v>
      </c>
      <c r="H14" s="97">
        <f t="shared" si="7"/>
        <v>69457.500000000015</v>
      </c>
      <c r="I14" s="97">
        <f t="shared" si="7"/>
        <v>72930.375000000015</v>
      </c>
      <c r="J14" s="97">
        <f t="shared" si="7"/>
        <v>76576.893750000017</v>
      </c>
      <c r="K14" s="97">
        <f t="shared" si="7"/>
        <v>80405.738437500026</v>
      </c>
    </row>
    <row r="15" spans="1:11" ht="14.25" customHeight="1">
      <c r="A15" s="56" t="s">
        <v>220</v>
      </c>
      <c r="B15" s="56" t="s">
        <v>217</v>
      </c>
      <c r="C15" s="56">
        <v>12</v>
      </c>
      <c r="D15" s="97">
        <v>20000</v>
      </c>
      <c r="E15" s="97">
        <f t="shared" ref="E15:K15" si="8">$C15*$D15*E$4</f>
        <v>240000</v>
      </c>
      <c r="F15" s="97">
        <f t="shared" si="8"/>
        <v>252000</v>
      </c>
      <c r="G15" s="97">
        <f t="shared" si="8"/>
        <v>264600</v>
      </c>
      <c r="H15" s="97">
        <f t="shared" si="8"/>
        <v>277830.00000000006</v>
      </c>
      <c r="I15" s="97">
        <f t="shared" si="8"/>
        <v>291721.50000000006</v>
      </c>
      <c r="J15" s="97">
        <f t="shared" si="8"/>
        <v>306307.57500000007</v>
      </c>
      <c r="K15" s="97">
        <f t="shared" si="8"/>
        <v>321622.9537500001</v>
      </c>
    </row>
    <row r="16" spans="1:11" ht="14.25" customHeight="1">
      <c r="A16" s="56" t="s">
        <v>221</v>
      </c>
      <c r="B16" s="56" t="s">
        <v>217</v>
      </c>
      <c r="C16" s="56">
        <v>12</v>
      </c>
      <c r="D16" s="97">
        <v>5000</v>
      </c>
      <c r="E16" s="97">
        <f t="shared" ref="E16:K16" si="9">$C16*$D16*E$4</f>
        <v>60000</v>
      </c>
      <c r="F16" s="97">
        <f t="shared" si="9"/>
        <v>63000</v>
      </c>
      <c r="G16" s="97">
        <f t="shared" si="9"/>
        <v>66150</v>
      </c>
      <c r="H16" s="97">
        <f t="shared" si="9"/>
        <v>69457.500000000015</v>
      </c>
      <c r="I16" s="97">
        <f t="shared" si="9"/>
        <v>72930.375000000015</v>
      </c>
      <c r="J16" s="97">
        <f t="shared" si="9"/>
        <v>76576.893750000017</v>
      </c>
      <c r="K16" s="97">
        <f t="shared" si="9"/>
        <v>80405.738437500026</v>
      </c>
    </row>
    <row r="17" spans="1:17" ht="14.25" customHeight="1">
      <c r="A17" s="56" t="s">
        <v>222</v>
      </c>
      <c r="B17" s="56" t="s">
        <v>223</v>
      </c>
      <c r="C17" s="56">
        <v>1</v>
      </c>
      <c r="D17" s="97">
        <v>100000</v>
      </c>
      <c r="E17" s="97">
        <f t="shared" ref="E17:K17" si="10">$D17*E$4*$C17</f>
        <v>100000</v>
      </c>
      <c r="F17" s="97">
        <f t="shared" si="10"/>
        <v>105000</v>
      </c>
      <c r="G17" s="97">
        <f t="shared" si="10"/>
        <v>110250</v>
      </c>
      <c r="H17" s="97">
        <f t="shared" si="10"/>
        <v>115762.50000000001</v>
      </c>
      <c r="I17" s="97">
        <f t="shared" si="10"/>
        <v>121550.62500000003</v>
      </c>
      <c r="J17" s="97">
        <f t="shared" si="10"/>
        <v>127628.15625000003</v>
      </c>
      <c r="K17" s="97">
        <f t="shared" si="10"/>
        <v>134009.56406250005</v>
      </c>
    </row>
    <row r="18" spans="1:17" ht="14.25" customHeight="1">
      <c r="A18" s="56"/>
      <c r="B18" s="56"/>
      <c r="C18" s="56"/>
      <c r="D18" s="97"/>
      <c r="E18" s="97">
        <f t="shared" ref="E18:K18" si="11">$D18*E$4*$C18</f>
        <v>0</v>
      </c>
      <c r="F18" s="97">
        <f t="shared" si="11"/>
        <v>0</v>
      </c>
      <c r="G18" s="97">
        <f t="shared" si="11"/>
        <v>0</v>
      </c>
      <c r="H18" s="97">
        <f t="shared" si="11"/>
        <v>0</v>
      </c>
      <c r="I18" s="97">
        <f t="shared" si="11"/>
        <v>0</v>
      </c>
      <c r="J18" s="97">
        <f t="shared" si="11"/>
        <v>0</v>
      </c>
      <c r="K18" s="97">
        <f t="shared" si="11"/>
        <v>0</v>
      </c>
    </row>
    <row r="19" spans="1:17" ht="14.25" customHeight="1">
      <c r="A19" s="56"/>
      <c r="B19" s="56"/>
      <c r="C19" s="56"/>
      <c r="D19" s="97"/>
      <c r="E19" s="97">
        <f t="shared" ref="E19:K19" si="12">$D19*E$4*$C19</f>
        <v>0</v>
      </c>
      <c r="F19" s="97">
        <f t="shared" si="12"/>
        <v>0</v>
      </c>
      <c r="G19" s="97">
        <f t="shared" si="12"/>
        <v>0</v>
      </c>
      <c r="H19" s="97">
        <f t="shared" si="12"/>
        <v>0</v>
      </c>
      <c r="I19" s="97">
        <f t="shared" si="12"/>
        <v>0</v>
      </c>
      <c r="J19" s="97">
        <f t="shared" si="12"/>
        <v>0</v>
      </c>
      <c r="K19" s="97">
        <f t="shared" si="12"/>
        <v>0</v>
      </c>
    </row>
    <row r="20" spans="1:17" ht="14.25" customHeight="1">
      <c r="A20" s="56"/>
      <c r="B20" s="56"/>
      <c r="C20" s="56"/>
      <c r="D20" s="97"/>
      <c r="E20" s="97">
        <f t="shared" ref="E20:K20" si="13">$D20*E$4*$C20</f>
        <v>0</v>
      </c>
      <c r="F20" s="97">
        <f t="shared" si="13"/>
        <v>0</v>
      </c>
      <c r="G20" s="97">
        <f t="shared" si="13"/>
        <v>0</v>
      </c>
      <c r="H20" s="97">
        <f t="shared" si="13"/>
        <v>0</v>
      </c>
      <c r="I20" s="97">
        <f t="shared" si="13"/>
        <v>0</v>
      </c>
      <c r="J20" s="97">
        <f t="shared" si="13"/>
        <v>0</v>
      </c>
      <c r="K20" s="97">
        <f t="shared" si="13"/>
        <v>0</v>
      </c>
    </row>
    <row r="21" spans="1:17" ht="14.25" customHeight="1">
      <c r="A21" s="56"/>
      <c r="B21" s="56"/>
      <c r="C21" s="56"/>
      <c r="D21" s="97"/>
      <c r="E21" s="97">
        <f t="shared" ref="E21:K21" si="14">$D21*E$4*$C21</f>
        <v>0</v>
      </c>
      <c r="F21" s="97">
        <f t="shared" si="14"/>
        <v>0</v>
      </c>
      <c r="G21" s="97">
        <f t="shared" si="14"/>
        <v>0</v>
      </c>
      <c r="H21" s="97">
        <f t="shared" si="14"/>
        <v>0</v>
      </c>
      <c r="I21" s="97">
        <f t="shared" si="14"/>
        <v>0</v>
      </c>
      <c r="J21" s="97">
        <f t="shared" si="14"/>
        <v>0</v>
      </c>
      <c r="K21" s="97">
        <f t="shared" si="14"/>
        <v>0</v>
      </c>
    </row>
    <row r="22" spans="1:17" ht="14.25" customHeight="1">
      <c r="A22" s="56"/>
      <c r="B22" s="56"/>
      <c r="C22" s="56"/>
      <c r="D22" s="97"/>
      <c r="E22" s="97">
        <f t="shared" ref="E22:K22" si="15">$D22*E$4*$C22</f>
        <v>0</v>
      </c>
      <c r="F22" s="97">
        <f t="shared" si="15"/>
        <v>0</v>
      </c>
      <c r="G22" s="97">
        <f t="shared" si="15"/>
        <v>0</v>
      </c>
      <c r="H22" s="97">
        <f t="shared" si="15"/>
        <v>0</v>
      </c>
      <c r="I22" s="97">
        <f t="shared" si="15"/>
        <v>0</v>
      </c>
      <c r="J22" s="97">
        <f t="shared" si="15"/>
        <v>0</v>
      </c>
      <c r="K22" s="97">
        <f t="shared" si="15"/>
        <v>0</v>
      </c>
    </row>
    <row r="23" spans="1:17" ht="14.25" customHeight="1">
      <c r="A23" s="56"/>
      <c r="B23" s="56"/>
      <c r="C23" s="56"/>
      <c r="D23" s="97"/>
      <c r="E23" s="97">
        <f t="shared" ref="E23:K23" si="16">$D23*E$4*$C23</f>
        <v>0</v>
      </c>
      <c r="F23" s="97">
        <f t="shared" si="16"/>
        <v>0</v>
      </c>
      <c r="G23" s="97">
        <f t="shared" si="16"/>
        <v>0</v>
      </c>
      <c r="H23" s="97">
        <f t="shared" si="16"/>
        <v>0</v>
      </c>
      <c r="I23" s="97">
        <f t="shared" si="16"/>
        <v>0</v>
      </c>
      <c r="J23" s="97">
        <f t="shared" si="16"/>
        <v>0</v>
      </c>
      <c r="K23" s="97">
        <f t="shared" si="16"/>
        <v>0</v>
      </c>
    </row>
    <row r="24" spans="1:17" ht="14.25" customHeight="1">
      <c r="A24" s="98" t="s">
        <v>224</v>
      </c>
      <c r="B24" s="98"/>
      <c r="C24" s="98"/>
      <c r="D24" s="99"/>
      <c r="E24" s="99">
        <f t="shared" ref="E24:K24" si="17">SUM(E8:E23)</f>
        <v>1612000</v>
      </c>
      <c r="F24" s="99">
        <f t="shared" si="17"/>
        <v>1692600</v>
      </c>
      <c r="G24" s="99">
        <f t="shared" si="17"/>
        <v>1777230</v>
      </c>
      <c r="H24" s="99">
        <f t="shared" si="17"/>
        <v>1866091.5000000002</v>
      </c>
      <c r="I24" s="99">
        <f t="shared" si="17"/>
        <v>1959396.0750000002</v>
      </c>
      <c r="J24" s="99">
        <f t="shared" si="17"/>
        <v>2057365.8787500004</v>
      </c>
      <c r="K24" s="99">
        <f t="shared" si="17"/>
        <v>2160234.1726875007</v>
      </c>
    </row>
    <row r="25" spans="1:17" ht="14.25" customHeight="1"/>
    <row r="26" spans="1:17" ht="14.25" customHeight="1">
      <c r="A26" s="100" t="s">
        <v>225</v>
      </c>
    </row>
    <row r="27" spans="1:17" ht="14.25" customHeight="1"/>
    <row r="28" spans="1:17" ht="14.25" customHeight="1"/>
    <row r="29" spans="1:17" ht="14.25" customHeight="1">
      <c r="A29" s="377"/>
      <c r="B29" s="360"/>
      <c r="C29" s="360"/>
      <c r="D29" s="360"/>
      <c r="E29" s="360"/>
      <c r="F29" s="360"/>
      <c r="G29" s="360"/>
      <c r="H29" s="360"/>
      <c r="I29" s="360"/>
      <c r="J29" s="360"/>
      <c r="K29" s="360"/>
      <c r="L29" s="360"/>
      <c r="M29" s="360"/>
      <c r="N29" s="360"/>
      <c r="O29" s="360"/>
    </row>
    <row r="30" spans="1:17" ht="14.25" customHeight="1">
      <c r="A30" s="375" t="s">
        <v>226</v>
      </c>
      <c r="B30" s="360"/>
      <c r="C30" s="360"/>
      <c r="D30" s="360"/>
      <c r="E30" s="360"/>
      <c r="F30" s="360"/>
      <c r="G30" s="360"/>
      <c r="H30" s="360"/>
      <c r="I30" s="360"/>
      <c r="J30" s="360"/>
      <c r="K30" s="360"/>
      <c r="L30" s="360"/>
      <c r="M30" s="360"/>
      <c r="N30" s="360"/>
      <c r="O30" s="360"/>
      <c r="P30" s="360"/>
      <c r="Q30" s="360"/>
    </row>
    <row r="31" spans="1:17" ht="14.25" customHeight="1">
      <c r="A31" s="101"/>
      <c r="B31" s="101"/>
      <c r="C31" s="101"/>
      <c r="D31" s="101"/>
      <c r="E31" s="101"/>
      <c r="F31" s="101"/>
      <c r="G31" s="101"/>
      <c r="H31" s="101"/>
      <c r="I31" s="101"/>
      <c r="J31" s="101"/>
      <c r="K31" s="101"/>
      <c r="L31" s="101"/>
      <c r="M31" s="101"/>
      <c r="N31" s="101"/>
      <c r="O31" s="101"/>
    </row>
    <row r="32" spans="1:17" ht="14.25" customHeight="1">
      <c r="A32" s="92"/>
      <c r="B32" s="92"/>
      <c r="C32" s="378" t="s">
        <v>227</v>
      </c>
      <c r="D32" s="356"/>
      <c r="E32" s="356"/>
      <c r="F32" s="356"/>
      <c r="G32" s="356"/>
      <c r="H32" s="356"/>
      <c r="I32" s="356"/>
      <c r="J32" s="92"/>
      <c r="K32" s="379" t="s">
        <v>228</v>
      </c>
      <c r="L32" s="356"/>
      <c r="M32" s="356"/>
      <c r="N32" s="356"/>
      <c r="O32" s="356"/>
      <c r="P32" s="356"/>
      <c r="Q32" s="356"/>
    </row>
    <row r="33" spans="1:17" ht="14.25" customHeight="1">
      <c r="A33" s="95" t="s">
        <v>201</v>
      </c>
      <c r="B33" s="102"/>
      <c r="C33" s="103" t="s">
        <v>204</v>
      </c>
      <c r="D33" s="103" t="s">
        <v>205</v>
      </c>
      <c r="E33" s="103" t="s">
        <v>206</v>
      </c>
      <c r="F33" s="103" t="s">
        <v>207</v>
      </c>
      <c r="G33" s="103" t="s">
        <v>208</v>
      </c>
      <c r="H33" s="103" t="s">
        <v>209</v>
      </c>
      <c r="I33" s="103" t="s">
        <v>210</v>
      </c>
      <c r="J33" s="104"/>
      <c r="K33" s="103" t="s">
        <v>204</v>
      </c>
      <c r="L33" s="103" t="s">
        <v>205</v>
      </c>
      <c r="M33" s="103" t="s">
        <v>206</v>
      </c>
      <c r="N33" s="103" t="s">
        <v>207</v>
      </c>
      <c r="O33" s="103" t="s">
        <v>208</v>
      </c>
      <c r="P33" s="103" t="s">
        <v>209</v>
      </c>
      <c r="Q33" s="103" t="s">
        <v>210</v>
      </c>
    </row>
    <row r="34" spans="1:17" ht="14.25" customHeight="1">
      <c r="A34" s="105" t="s">
        <v>229</v>
      </c>
      <c r="B34" s="56"/>
      <c r="C34" s="56"/>
      <c r="D34" s="56"/>
      <c r="E34" s="56"/>
      <c r="F34" s="56"/>
      <c r="G34" s="106"/>
      <c r="H34" s="106"/>
      <c r="I34" s="106"/>
      <c r="J34" s="56"/>
      <c r="K34" s="56"/>
      <c r="L34" s="56"/>
      <c r="M34" s="56"/>
      <c r="N34" s="56"/>
      <c r="O34" s="106"/>
      <c r="P34" s="106"/>
      <c r="Q34" s="106"/>
    </row>
    <row r="35" spans="1:17" ht="14.25" customHeight="1">
      <c r="A35" s="105"/>
      <c r="B35" s="56"/>
      <c r="C35" s="56"/>
      <c r="D35" s="56"/>
      <c r="E35" s="56"/>
      <c r="F35" s="56"/>
      <c r="G35" s="106"/>
      <c r="H35" s="106"/>
      <c r="I35" s="106"/>
      <c r="J35" s="56"/>
      <c r="K35" s="56"/>
      <c r="L35" s="56"/>
      <c r="M35" s="56"/>
      <c r="N35" s="56"/>
      <c r="O35" s="106"/>
      <c r="P35" s="106"/>
      <c r="Q35" s="106"/>
    </row>
    <row r="36" spans="1:17" ht="14.25" customHeight="1">
      <c r="A36" s="107"/>
      <c r="B36" s="107"/>
      <c r="C36" s="56"/>
      <c r="D36" s="56"/>
      <c r="E36" s="56"/>
      <c r="F36" s="56"/>
      <c r="G36" s="56"/>
      <c r="H36" s="56"/>
      <c r="I36" s="56"/>
      <c r="J36" s="56"/>
      <c r="K36" s="56"/>
      <c r="L36" s="56"/>
      <c r="M36" s="56"/>
      <c r="N36" s="56"/>
      <c r="O36" s="56"/>
      <c r="P36" s="56"/>
      <c r="Q36" s="56"/>
    </row>
    <row r="37" spans="1:17" ht="14.25" customHeight="1">
      <c r="A37" s="108" t="s">
        <v>230</v>
      </c>
      <c r="B37" s="108"/>
      <c r="C37" s="56"/>
      <c r="D37" s="56"/>
      <c r="E37" s="56"/>
      <c r="F37" s="56"/>
      <c r="G37" s="56"/>
      <c r="H37" s="56"/>
      <c r="I37" s="56"/>
      <c r="J37" s="56"/>
      <c r="K37" s="56"/>
      <c r="L37" s="56"/>
      <c r="M37" s="56"/>
      <c r="N37" s="56"/>
      <c r="O37" s="56"/>
      <c r="P37" s="56"/>
      <c r="Q37" s="56"/>
    </row>
    <row r="38" spans="1:17" ht="14.25" customHeight="1">
      <c r="A38" s="107" t="s">
        <v>231</v>
      </c>
      <c r="B38" s="107"/>
      <c r="C38" s="109">
        <f>'1.Project Cost and MOF'!D5</f>
        <v>13915500</v>
      </c>
      <c r="D38" s="109">
        <f t="shared" ref="D38:I38" si="18">C41</f>
        <v>13474378.65</v>
      </c>
      <c r="E38" s="109">
        <f t="shared" si="18"/>
        <v>13033257.300000001</v>
      </c>
      <c r="F38" s="109">
        <f t="shared" si="18"/>
        <v>12592135.950000001</v>
      </c>
      <c r="G38" s="109">
        <f t="shared" si="18"/>
        <v>12151014.600000001</v>
      </c>
      <c r="H38" s="109">
        <f t="shared" si="18"/>
        <v>11709893.250000002</v>
      </c>
      <c r="I38" s="109">
        <f t="shared" si="18"/>
        <v>11268771.900000002</v>
      </c>
      <c r="J38" s="56"/>
      <c r="K38" s="109">
        <f>C38</f>
        <v>13915500</v>
      </c>
      <c r="L38" s="109">
        <f t="shared" ref="L38:Q38" si="19">K41</f>
        <v>12523950</v>
      </c>
      <c r="M38" s="109">
        <f t="shared" si="19"/>
        <v>11271555</v>
      </c>
      <c r="N38" s="109">
        <f t="shared" si="19"/>
        <v>10144399.5</v>
      </c>
      <c r="O38" s="109">
        <f t="shared" si="19"/>
        <v>9129959.5500000007</v>
      </c>
      <c r="P38" s="109">
        <f t="shared" si="19"/>
        <v>8216963.5950000007</v>
      </c>
      <c r="Q38" s="109">
        <f t="shared" si="19"/>
        <v>7395267.2355000004</v>
      </c>
    </row>
    <row r="39" spans="1:17" ht="14.25" customHeight="1">
      <c r="A39" s="107" t="s">
        <v>232</v>
      </c>
      <c r="B39" s="107"/>
      <c r="C39" s="109">
        <f t="shared" ref="C39:I39" si="20">$C$38*$B$75</f>
        <v>441121.35</v>
      </c>
      <c r="D39" s="109">
        <f t="shared" si="20"/>
        <v>441121.35</v>
      </c>
      <c r="E39" s="109">
        <f t="shared" si="20"/>
        <v>441121.35</v>
      </c>
      <c r="F39" s="109">
        <f t="shared" si="20"/>
        <v>441121.35</v>
      </c>
      <c r="G39" s="109">
        <f t="shared" si="20"/>
        <v>441121.35</v>
      </c>
      <c r="H39" s="109">
        <f t="shared" si="20"/>
        <v>441121.35</v>
      </c>
      <c r="I39" s="109">
        <f t="shared" si="20"/>
        <v>441121.35</v>
      </c>
      <c r="J39" s="56"/>
      <c r="K39" s="109">
        <f t="shared" ref="K39:Q39" si="21">K38*$C$75</f>
        <v>1391550</v>
      </c>
      <c r="L39" s="109">
        <f t="shared" si="21"/>
        <v>1252395</v>
      </c>
      <c r="M39" s="109">
        <f t="shared" si="21"/>
        <v>1127155.5</v>
      </c>
      <c r="N39" s="109">
        <f t="shared" si="21"/>
        <v>1014439.9500000001</v>
      </c>
      <c r="O39" s="109">
        <f t="shared" si="21"/>
        <v>912995.95500000007</v>
      </c>
      <c r="P39" s="109">
        <f t="shared" si="21"/>
        <v>821696.35950000014</v>
      </c>
      <c r="Q39" s="109">
        <f t="shared" si="21"/>
        <v>739526.72355000011</v>
      </c>
    </row>
    <row r="40" spans="1:17" ht="14.25" customHeight="1">
      <c r="A40" s="107" t="s">
        <v>233</v>
      </c>
      <c r="B40" s="107"/>
      <c r="C40" s="109">
        <f>C39</f>
        <v>441121.35</v>
      </c>
      <c r="D40" s="109">
        <f>C40+D39</f>
        <v>882242.7</v>
      </c>
      <c r="E40" s="109">
        <f t="shared" ref="D40:I40" si="22">D40+E39</f>
        <v>1323364.0499999998</v>
      </c>
      <c r="F40" s="109">
        <f t="shared" si="22"/>
        <v>1764485.4</v>
      </c>
      <c r="G40" s="109">
        <f t="shared" si="22"/>
        <v>2205606.75</v>
      </c>
      <c r="H40" s="109">
        <f>G40+H39</f>
        <v>2646728.1</v>
      </c>
      <c r="I40" s="109">
        <f t="shared" si="22"/>
        <v>3087849.45</v>
      </c>
      <c r="J40" s="56"/>
      <c r="K40" s="109">
        <f>K39</f>
        <v>1391550</v>
      </c>
      <c r="L40" s="109">
        <f t="shared" ref="L40:Q40" si="23">K40+L39</f>
        <v>2643945</v>
      </c>
      <c r="M40" s="109">
        <f t="shared" si="23"/>
        <v>3771100.5</v>
      </c>
      <c r="N40" s="109">
        <f t="shared" si="23"/>
        <v>4785540.45</v>
      </c>
      <c r="O40" s="109">
        <f t="shared" si="23"/>
        <v>5698536.4050000003</v>
      </c>
      <c r="P40" s="109">
        <f t="shared" si="23"/>
        <v>6520232.7645000005</v>
      </c>
      <c r="Q40" s="109">
        <f t="shared" si="23"/>
        <v>7259759.4880500007</v>
      </c>
    </row>
    <row r="41" spans="1:17" ht="14.25" customHeight="1">
      <c r="A41" s="107" t="s">
        <v>234</v>
      </c>
      <c r="B41" s="107"/>
      <c r="C41" s="109">
        <f>C38-C39</f>
        <v>13474378.65</v>
      </c>
      <c r="D41" s="109">
        <f>D38-D39</f>
        <v>13033257.300000001</v>
      </c>
      <c r="E41" s="109">
        <f t="shared" ref="C41:I41" si="24">E38-E39</f>
        <v>12592135.950000001</v>
      </c>
      <c r="F41" s="109">
        <f t="shared" si="24"/>
        <v>12151014.600000001</v>
      </c>
      <c r="G41" s="109">
        <f t="shared" si="24"/>
        <v>11709893.250000002</v>
      </c>
      <c r="H41" s="109">
        <f t="shared" si="24"/>
        <v>11268771.900000002</v>
      </c>
      <c r="I41" s="109">
        <f t="shared" si="24"/>
        <v>10827650.550000003</v>
      </c>
      <c r="J41" s="56"/>
      <c r="K41" s="109">
        <f t="shared" ref="K41:Q41" si="25">K38-K39</f>
        <v>12523950</v>
      </c>
      <c r="L41" s="109">
        <f t="shared" si="25"/>
        <v>11271555</v>
      </c>
      <c r="M41" s="109">
        <f t="shared" si="25"/>
        <v>10144399.5</v>
      </c>
      <c r="N41" s="109">
        <f t="shared" si="25"/>
        <v>9129959.5500000007</v>
      </c>
      <c r="O41" s="109">
        <f t="shared" si="25"/>
        <v>8216963.5950000007</v>
      </c>
      <c r="P41" s="109">
        <f t="shared" si="25"/>
        <v>7395267.2355000004</v>
      </c>
      <c r="Q41" s="109">
        <f t="shared" si="25"/>
        <v>6655740.5119500002</v>
      </c>
    </row>
    <row r="42" spans="1:17" ht="14.25" customHeight="1">
      <c r="A42" s="107"/>
      <c r="B42" s="107"/>
      <c r="C42" s="109"/>
      <c r="D42" s="109"/>
      <c r="E42" s="109"/>
      <c r="F42" s="109"/>
      <c r="G42" s="109"/>
      <c r="H42" s="109"/>
      <c r="I42" s="109"/>
      <c r="J42" s="56"/>
      <c r="K42" s="109"/>
      <c r="L42" s="109"/>
      <c r="M42" s="109"/>
      <c r="N42" s="109"/>
      <c r="O42" s="109"/>
      <c r="P42" s="109"/>
      <c r="Q42" s="109"/>
    </row>
    <row r="43" spans="1:17" ht="14.25" customHeight="1">
      <c r="A43" s="108" t="s">
        <v>235</v>
      </c>
      <c r="B43" s="108"/>
      <c r="C43" s="109"/>
      <c r="D43" s="109"/>
      <c r="E43" s="109"/>
      <c r="F43" s="109"/>
      <c r="G43" s="109"/>
      <c r="H43" s="109"/>
      <c r="I43" s="109"/>
      <c r="J43" s="56"/>
      <c r="K43" s="109"/>
      <c r="L43" s="109"/>
      <c r="M43" s="109"/>
      <c r="N43" s="109"/>
      <c r="O43" s="109"/>
      <c r="P43" s="109"/>
      <c r="Q43" s="109"/>
    </row>
    <row r="44" spans="1:17" ht="14.25" customHeight="1">
      <c r="A44" s="107" t="s">
        <v>231</v>
      </c>
      <c r="B44" s="107"/>
      <c r="C44" s="109">
        <f>'1.Project Cost and MOF'!D6</f>
        <v>12597099.24</v>
      </c>
      <c r="D44" s="109">
        <f t="shared" ref="D44:I44" si="26">C47</f>
        <v>11799702.858108001</v>
      </c>
      <c r="E44" s="109">
        <f t="shared" si="26"/>
        <v>11002306.476216001</v>
      </c>
      <c r="F44" s="109">
        <f t="shared" si="26"/>
        <v>10204910.094324002</v>
      </c>
      <c r="G44" s="109">
        <f t="shared" si="26"/>
        <v>9407513.7124320026</v>
      </c>
      <c r="H44" s="109">
        <f t="shared" si="26"/>
        <v>8610117.3305400033</v>
      </c>
      <c r="I44" s="109">
        <f t="shared" si="26"/>
        <v>7812720.9486480029</v>
      </c>
      <c r="J44" s="56"/>
      <c r="K44" s="109">
        <f>C44</f>
        <v>12597099.24</v>
      </c>
      <c r="L44" s="109">
        <f t="shared" ref="L44:Q44" si="27">K47</f>
        <v>10707534.354</v>
      </c>
      <c r="M44" s="109">
        <f t="shared" si="27"/>
        <v>9101404.2008999996</v>
      </c>
      <c r="N44" s="109">
        <f t="shared" si="27"/>
        <v>7736193.5707649998</v>
      </c>
      <c r="O44" s="109">
        <f t="shared" si="27"/>
        <v>6575764.5351502504</v>
      </c>
      <c r="P44" s="109">
        <f t="shared" si="27"/>
        <v>5589399.8548777131</v>
      </c>
      <c r="Q44" s="109">
        <f t="shared" si="27"/>
        <v>4750989.8766460558</v>
      </c>
    </row>
    <row r="45" spans="1:17" ht="14.25" customHeight="1">
      <c r="A45" s="107" t="s">
        <v>232</v>
      </c>
      <c r="B45" s="107"/>
      <c r="C45" s="109">
        <f t="shared" ref="C45:I45" si="28">$C$44*$B$79</f>
        <v>797396.38189199998</v>
      </c>
      <c r="D45" s="109">
        <f t="shared" si="28"/>
        <v>797396.38189199998</v>
      </c>
      <c r="E45" s="109">
        <f t="shared" si="28"/>
        <v>797396.38189199998</v>
      </c>
      <c r="F45" s="109">
        <f t="shared" si="28"/>
        <v>797396.38189199998</v>
      </c>
      <c r="G45" s="109">
        <f t="shared" si="28"/>
        <v>797396.38189199998</v>
      </c>
      <c r="H45" s="109">
        <f t="shared" si="28"/>
        <v>797396.38189199998</v>
      </c>
      <c r="I45" s="109">
        <f t="shared" si="28"/>
        <v>797396.38189199998</v>
      </c>
      <c r="J45" s="56"/>
      <c r="K45" s="109">
        <f t="shared" ref="K45:Q45" si="29">K44*$C$79</f>
        <v>1889564.8859999999</v>
      </c>
      <c r="L45" s="109">
        <f t="shared" si="29"/>
        <v>1606130.1531</v>
      </c>
      <c r="M45" s="109">
        <f t="shared" si="29"/>
        <v>1365210.630135</v>
      </c>
      <c r="N45" s="109">
        <f t="shared" si="29"/>
        <v>1160429.0356147499</v>
      </c>
      <c r="O45" s="109">
        <f t="shared" si="29"/>
        <v>986364.68027253752</v>
      </c>
      <c r="P45" s="109">
        <f t="shared" si="29"/>
        <v>838409.97823165695</v>
      </c>
      <c r="Q45" s="109">
        <f t="shared" si="29"/>
        <v>712648.48149690835</v>
      </c>
    </row>
    <row r="46" spans="1:17" ht="14.25" customHeight="1">
      <c r="A46" s="107" t="s">
        <v>233</v>
      </c>
      <c r="B46" s="107"/>
      <c r="C46" s="109">
        <f>C45</f>
        <v>797396.38189199998</v>
      </c>
      <c r="D46" s="109">
        <f t="shared" ref="D46:I46" si="30">C46+D45</f>
        <v>1594792.763784</v>
      </c>
      <c r="E46" s="109">
        <f t="shared" si="30"/>
        <v>2392189.145676</v>
      </c>
      <c r="F46" s="109">
        <f t="shared" si="30"/>
        <v>3189585.5275679999</v>
      </c>
      <c r="G46" s="109">
        <f t="shared" si="30"/>
        <v>3986981.9094599998</v>
      </c>
      <c r="H46" s="109">
        <f t="shared" si="30"/>
        <v>4784378.2913520001</v>
      </c>
      <c r="I46" s="109">
        <f t="shared" si="30"/>
        <v>5581774.6732440004</v>
      </c>
      <c r="J46" s="56"/>
      <c r="K46" s="109">
        <f>K45</f>
        <v>1889564.8859999999</v>
      </c>
      <c r="L46" s="109">
        <f t="shared" ref="L46:Q46" si="31">K46+L45</f>
        <v>3495695.0390999997</v>
      </c>
      <c r="M46" s="109">
        <f t="shared" si="31"/>
        <v>4860905.6692349995</v>
      </c>
      <c r="N46" s="109">
        <f t="shared" si="31"/>
        <v>6021334.7048497498</v>
      </c>
      <c r="O46" s="109">
        <f t="shared" si="31"/>
        <v>7007699.3851222871</v>
      </c>
      <c r="P46" s="109">
        <f t="shared" si="31"/>
        <v>7846109.3633539444</v>
      </c>
      <c r="Q46" s="109">
        <f t="shared" si="31"/>
        <v>8558757.8448508531</v>
      </c>
    </row>
    <row r="47" spans="1:17" ht="14.25" customHeight="1">
      <c r="A47" s="107" t="s">
        <v>234</v>
      </c>
      <c r="B47" s="107"/>
      <c r="C47" s="109">
        <f t="shared" ref="C47:I47" si="32">C44-C45</f>
        <v>11799702.858108001</v>
      </c>
      <c r="D47" s="109">
        <f t="shared" si="32"/>
        <v>11002306.476216001</v>
      </c>
      <c r="E47" s="109">
        <f t="shared" si="32"/>
        <v>10204910.094324002</v>
      </c>
      <c r="F47" s="109">
        <f t="shared" si="32"/>
        <v>9407513.7124320026</v>
      </c>
      <c r="G47" s="109">
        <f t="shared" si="32"/>
        <v>8610117.3305400033</v>
      </c>
      <c r="H47" s="109">
        <f t="shared" si="32"/>
        <v>7812720.9486480029</v>
      </c>
      <c r="I47" s="109">
        <f t="shared" si="32"/>
        <v>7015324.5667560026</v>
      </c>
      <c r="J47" s="56"/>
      <c r="K47" s="109">
        <f t="shared" ref="K47:Q47" si="33">K44-K45</f>
        <v>10707534.354</v>
      </c>
      <c r="L47" s="109">
        <f t="shared" si="33"/>
        <v>9101404.2008999996</v>
      </c>
      <c r="M47" s="109">
        <f t="shared" si="33"/>
        <v>7736193.5707649998</v>
      </c>
      <c r="N47" s="109">
        <f t="shared" si="33"/>
        <v>6575764.5351502504</v>
      </c>
      <c r="O47" s="109">
        <f t="shared" si="33"/>
        <v>5589399.8548777131</v>
      </c>
      <c r="P47" s="109">
        <f t="shared" si="33"/>
        <v>4750989.8766460558</v>
      </c>
      <c r="Q47" s="109">
        <f t="shared" si="33"/>
        <v>4038341.3951491476</v>
      </c>
    </row>
    <row r="48" spans="1:17" ht="14.25" customHeight="1">
      <c r="A48" s="107"/>
      <c r="B48" s="107"/>
      <c r="C48" s="109"/>
      <c r="D48" s="109"/>
      <c r="E48" s="109"/>
      <c r="F48" s="109"/>
      <c r="G48" s="109"/>
      <c r="H48" s="109"/>
      <c r="I48" s="109"/>
      <c r="J48" s="56"/>
      <c r="K48" s="109"/>
      <c r="L48" s="109"/>
      <c r="M48" s="109"/>
      <c r="N48" s="109"/>
      <c r="O48" s="109"/>
      <c r="P48" s="109"/>
      <c r="Q48" s="109"/>
    </row>
    <row r="49" spans="1:17" ht="14.25" customHeight="1">
      <c r="A49" s="108" t="s">
        <v>236</v>
      </c>
      <c r="B49" s="108"/>
      <c r="C49" s="109"/>
      <c r="D49" s="109"/>
      <c r="E49" s="109"/>
      <c r="F49" s="109"/>
      <c r="G49" s="109"/>
      <c r="H49" s="109"/>
      <c r="I49" s="109"/>
      <c r="J49" s="56"/>
      <c r="K49" s="109"/>
      <c r="L49" s="109"/>
      <c r="M49" s="109"/>
      <c r="N49" s="109"/>
      <c r="O49" s="109"/>
      <c r="P49" s="109"/>
      <c r="Q49" s="109"/>
    </row>
    <row r="50" spans="1:17" ht="14.25" customHeight="1">
      <c r="A50" s="107" t="s">
        <v>231</v>
      </c>
      <c r="B50" s="107"/>
      <c r="C50" s="109">
        <f>'1.Project Cost and MOF'!D7</f>
        <v>0</v>
      </c>
      <c r="D50" s="109">
        <f t="shared" ref="D50:I50" si="34">C53</f>
        <v>0</v>
      </c>
      <c r="E50" s="109">
        <f t="shared" si="34"/>
        <v>0</v>
      </c>
      <c r="F50" s="109">
        <f t="shared" si="34"/>
        <v>0</v>
      </c>
      <c r="G50" s="109">
        <f t="shared" si="34"/>
        <v>0</v>
      </c>
      <c r="H50" s="109">
        <f t="shared" si="34"/>
        <v>0</v>
      </c>
      <c r="I50" s="109">
        <f t="shared" si="34"/>
        <v>0</v>
      </c>
      <c r="J50" s="56"/>
      <c r="K50" s="109">
        <f>C50</f>
        <v>0</v>
      </c>
      <c r="L50" s="109">
        <f t="shared" ref="L50:Q50" si="35">K53</f>
        <v>0</v>
      </c>
      <c r="M50" s="109">
        <f t="shared" si="35"/>
        <v>0</v>
      </c>
      <c r="N50" s="109">
        <f t="shared" si="35"/>
        <v>0</v>
      </c>
      <c r="O50" s="109">
        <f t="shared" si="35"/>
        <v>0</v>
      </c>
      <c r="P50" s="109">
        <f t="shared" si="35"/>
        <v>0</v>
      </c>
      <c r="Q50" s="109">
        <f t="shared" si="35"/>
        <v>0</v>
      </c>
    </row>
    <row r="51" spans="1:17" ht="14.25" customHeight="1">
      <c r="A51" s="107" t="s">
        <v>232</v>
      </c>
      <c r="B51" s="107"/>
      <c r="C51" s="109">
        <f t="shared" ref="C51:I51" si="36">$C$50*$B$76</f>
        <v>0</v>
      </c>
      <c r="D51" s="109">
        <f t="shared" si="36"/>
        <v>0</v>
      </c>
      <c r="E51" s="109">
        <f t="shared" si="36"/>
        <v>0</v>
      </c>
      <c r="F51" s="109">
        <f t="shared" si="36"/>
        <v>0</v>
      </c>
      <c r="G51" s="109">
        <f t="shared" si="36"/>
        <v>0</v>
      </c>
      <c r="H51" s="109">
        <f t="shared" si="36"/>
        <v>0</v>
      </c>
      <c r="I51" s="109">
        <f t="shared" si="36"/>
        <v>0</v>
      </c>
      <c r="J51" s="56"/>
      <c r="K51" s="109">
        <f t="shared" ref="K51:Q51" si="37">K50*$C$76</f>
        <v>0</v>
      </c>
      <c r="L51" s="109">
        <f t="shared" si="37"/>
        <v>0</v>
      </c>
      <c r="M51" s="109">
        <f t="shared" si="37"/>
        <v>0</v>
      </c>
      <c r="N51" s="109">
        <f t="shared" si="37"/>
        <v>0</v>
      </c>
      <c r="O51" s="109">
        <f t="shared" si="37"/>
        <v>0</v>
      </c>
      <c r="P51" s="109">
        <f t="shared" si="37"/>
        <v>0</v>
      </c>
      <c r="Q51" s="109">
        <f t="shared" si="37"/>
        <v>0</v>
      </c>
    </row>
    <row r="52" spans="1:17" ht="14.25" customHeight="1">
      <c r="A52" s="107" t="s">
        <v>233</v>
      </c>
      <c r="B52" s="107"/>
      <c r="C52" s="109">
        <f>C51</f>
        <v>0</v>
      </c>
      <c r="D52" s="109">
        <f t="shared" ref="D52:I52" si="38">C52+D51</f>
        <v>0</v>
      </c>
      <c r="E52" s="109">
        <f t="shared" si="38"/>
        <v>0</v>
      </c>
      <c r="F52" s="109">
        <f t="shared" si="38"/>
        <v>0</v>
      </c>
      <c r="G52" s="109">
        <f t="shared" si="38"/>
        <v>0</v>
      </c>
      <c r="H52" s="109">
        <f t="shared" si="38"/>
        <v>0</v>
      </c>
      <c r="I52" s="109">
        <f t="shared" si="38"/>
        <v>0</v>
      </c>
      <c r="J52" s="56"/>
      <c r="K52" s="109">
        <f>K51</f>
        <v>0</v>
      </c>
      <c r="L52" s="109">
        <f t="shared" ref="L52:Q52" si="39">K52+L51</f>
        <v>0</v>
      </c>
      <c r="M52" s="109">
        <f t="shared" si="39"/>
        <v>0</v>
      </c>
      <c r="N52" s="109">
        <f t="shared" si="39"/>
        <v>0</v>
      </c>
      <c r="O52" s="109">
        <f t="shared" si="39"/>
        <v>0</v>
      </c>
      <c r="P52" s="109">
        <f t="shared" si="39"/>
        <v>0</v>
      </c>
      <c r="Q52" s="109">
        <f t="shared" si="39"/>
        <v>0</v>
      </c>
    </row>
    <row r="53" spans="1:17" ht="14.25" customHeight="1">
      <c r="A53" s="107" t="s">
        <v>234</v>
      </c>
      <c r="B53" s="107"/>
      <c r="C53" s="109">
        <f t="shared" ref="C53:I53" si="40">C50-C51</f>
        <v>0</v>
      </c>
      <c r="D53" s="109">
        <f t="shared" si="40"/>
        <v>0</v>
      </c>
      <c r="E53" s="109">
        <f t="shared" si="40"/>
        <v>0</v>
      </c>
      <c r="F53" s="109">
        <f t="shared" si="40"/>
        <v>0</v>
      </c>
      <c r="G53" s="109">
        <f t="shared" si="40"/>
        <v>0</v>
      </c>
      <c r="H53" s="109">
        <f t="shared" si="40"/>
        <v>0</v>
      </c>
      <c r="I53" s="109">
        <f t="shared" si="40"/>
        <v>0</v>
      </c>
      <c r="J53" s="56"/>
      <c r="K53" s="109">
        <f t="shared" ref="K53:Q53" si="41">K50-K51</f>
        <v>0</v>
      </c>
      <c r="L53" s="109">
        <f t="shared" si="41"/>
        <v>0</v>
      </c>
      <c r="M53" s="109">
        <f t="shared" si="41"/>
        <v>0</v>
      </c>
      <c r="N53" s="109">
        <f t="shared" si="41"/>
        <v>0</v>
      </c>
      <c r="O53" s="109">
        <f t="shared" si="41"/>
        <v>0</v>
      </c>
      <c r="P53" s="109">
        <f t="shared" si="41"/>
        <v>0</v>
      </c>
      <c r="Q53" s="109">
        <f t="shared" si="41"/>
        <v>0</v>
      </c>
    </row>
    <row r="54" spans="1:17" ht="14.25" customHeight="1">
      <c r="A54" s="107"/>
      <c r="B54" s="107"/>
      <c r="C54" s="109"/>
      <c r="D54" s="109"/>
      <c r="E54" s="109"/>
      <c r="F54" s="109"/>
      <c r="G54" s="109"/>
      <c r="H54" s="109"/>
      <c r="I54" s="109"/>
      <c r="J54" s="56"/>
      <c r="K54" s="109"/>
      <c r="L54" s="109"/>
      <c r="M54" s="109"/>
      <c r="N54" s="109"/>
      <c r="O54" s="109"/>
      <c r="P54" s="109"/>
      <c r="Q54" s="109"/>
    </row>
    <row r="55" spans="1:17" ht="14.25" customHeight="1">
      <c r="A55" s="108" t="s">
        <v>237</v>
      </c>
      <c r="B55" s="108"/>
      <c r="C55" s="109"/>
      <c r="D55" s="109"/>
      <c r="E55" s="109"/>
      <c r="F55" s="109"/>
      <c r="G55" s="109"/>
      <c r="H55" s="109"/>
      <c r="I55" s="109"/>
      <c r="J55" s="56"/>
      <c r="K55" s="109"/>
      <c r="L55" s="109"/>
      <c r="M55" s="109"/>
      <c r="N55" s="109"/>
      <c r="O55" s="109"/>
      <c r="P55" s="109"/>
      <c r="Q55" s="109"/>
    </row>
    <row r="56" spans="1:17" ht="14.25" customHeight="1">
      <c r="A56" s="107" t="s">
        <v>231</v>
      </c>
      <c r="B56" s="107"/>
      <c r="C56" s="109">
        <f>'1.Project Cost and MOF'!D9</f>
        <v>0</v>
      </c>
      <c r="D56" s="109">
        <f t="shared" ref="D56:I56" si="42">C59</f>
        <v>0</v>
      </c>
      <c r="E56" s="109">
        <f t="shared" si="42"/>
        <v>0</v>
      </c>
      <c r="F56" s="109">
        <f t="shared" si="42"/>
        <v>0</v>
      </c>
      <c r="G56" s="109">
        <f t="shared" si="42"/>
        <v>0</v>
      </c>
      <c r="H56" s="109">
        <f t="shared" si="42"/>
        <v>0</v>
      </c>
      <c r="I56" s="109">
        <f t="shared" si="42"/>
        <v>0</v>
      </c>
      <c r="J56" s="56"/>
      <c r="K56" s="109">
        <f>C56</f>
        <v>0</v>
      </c>
      <c r="L56" s="109">
        <f t="shared" ref="L56:Q56" si="43">K59</f>
        <v>0</v>
      </c>
      <c r="M56" s="109">
        <f t="shared" si="43"/>
        <v>0</v>
      </c>
      <c r="N56" s="109">
        <f t="shared" si="43"/>
        <v>0</v>
      </c>
      <c r="O56" s="109">
        <f t="shared" si="43"/>
        <v>0</v>
      </c>
      <c r="P56" s="109">
        <f t="shared" si="43"/>
        <v>0</v>
      </c>
      <c r="Q56" s="109">
        <f t="shared" si="43"/>
        <v>0</v>
      </c>
    </row>
    <row r="57" spans="1:17" ht="14.25" customHeight="1">
      <c r="A57" s="107" t="s">
        <v>232</v>
      </c>
      <c r="B57" s="107"/>
      <c r="C57" s="109">
        <f t="shared" ref="C57:I57" si="44">$C$56*$B$78</f>
        <v>0</v>
      </c>
      <c r="D57" s="109">
        <f t="shared" si="44"/>
        <v>0</v>
      </c>
      <c r="E57" s="109">
        <f t="shared" si="44"/>
        <v>0</v>
      </c>
      <c r="F57" s="109">
        <f t="shared" si="44"/>
        <v>0</v>
      </c>
      <c r="G57" s="109">
        <f t="shared" si="44"/>
        <v>0</v>
      </c>
      <c r="H57" s="109">
        <f t="shared" si="44"/>
        <v>0</v>
      </c>
      <c r="I57" s="109">
        <f t="shared" si="44"/>
        <v>0</v>
      </c>
      <c r="J57" s="56"/>
      <c r="K57" s="109">
        <f t="shared" ref="K57:Q57" si="45">K56*$C$78</f>
        <v>0</v>
      </c>
      <c r="L57" s="109">
        <f t="shared" si="45"/>
        <v>0</v>
      </c>
      <c r="M57" s="109">
        <f t="shared" si="45"/>
        <v>0</v>
      </c>
      <c r="N57" s="109">
        <f t="shared" si="45"/>
        <v>0</v>
      </c>
      <c r="O57" s="109">
        <f t="shared" si="45"/>
        <v>0</v>
      </c>
      <c r="P57" s="109">
        <f t="shared" si="45"/>
        <v>0</v>
      </c>
      <c r="Q57" s="109">
        <f t="shared" si="45"/>
        <v>0</v>
      </c>
    </row>
    <row r="58" spans="1:17" ht="14.25" customHeight="1">
      <c r="A58" s="107" t="s">
        <v>233</v>
      </c>
      <c r="B58" s="107"/>
      <c r="C58" s="109">
        <f>C57</f>
        <v>0</v>
      </c>
      <c r="D58" s="109">
        <f t="shared" ref="D58:I58" si="46">C58+D57</f>
        <v>0</v>
      </c>
      <c r="E58" s="109">
        <f t="shared" si="46"/>
        <v>0</v>
      </c>
      <c r="F58" s="109">
        <f t="shared" si="46"/>
        <v>0</v>
      </c>
      <c r="G58" s="109">
        <f t="shared" si="46"/>
        <v>0</v>
      </c>
      <c r="H58" s="109">
        <f t="shared" si="46"/>
        <v>0</v>
      </c>
      <c r="I58" s="109">
        <f t="shared" si="46"/>
        <v>0</v>
      </c>
      <c r="J58" s="56"/>
      <c r="K58" s="109">
        <f>K57</f>
        <v>0</v>
      </c>
      <c r="L58" s="109">
        <f t="shared" ref="L58:Q58" si="47">K58+L57</f>
        <v>0</v>
      </c>
      <c r="M58" s="109">
        <f t="shared" si="47"/>
        <v>0</v>
      </c>
      <c r="N58" s="109">
        <f t="shared" si="47"/>
        <v>0</v>
      </c>
      <c r="O58" s="109">
        <f t="shared" si="47"/>
        <v>0</v>
      </c>
      <c r="P58" s="109">
        <f t="shared" si="47"/>
        <v>0</v>
      </c>
      <c r="Q58" s="109">
        <f t="shared" si="47"/>
        <v>0</v>
      </c>
    </row>
    <row r="59" spans="1:17" ht="14.25" customHeight="1">
      <c r="A59" s="107" t="s">
        <v>234</v>
      </c>
      <c r="B59" s="107"/>
      <c r="C59" s="109">
        <f t="shared" ref="C59:I59" si="48">C56-C57</f>
        <v>0</v>
      </c>
      <c r="D59" s="109">
        <f t="shared" si="48"/>
        <v>0</v>
      </c>
      <c r="E59" s="109">
        <f t="shared" si="48"/>
        <v>0</v>
      </c>
      <c r="F59" s="109">
        <f t="shared" si="48"/>
        <v>0</v>
      </c>
      <c r="G59" s="109">
        <f t="shared" si="48"/>
        <v>0</v>
      </c>
      <c r="H59" s="109">
        <f t="shared" si="48"/>
        <v>0</v>
      </c>
      <c r="I59" s="109">
        <f t="shared" si="48"/>
        <v>0</v>
      </c>
      <c r="J59" s="56"/>
      <c r="K59" s="109">
        <f t="shared" ref="K59:Q59" si="49">K56-K57</f>
        <v>0</v>
      </c>
      <c r="L59" s="109">
        <f t="shared" si="49"/>
        <v>0</v>
      </c>
      <c r="M59" s="109">
        <f t="shared" si="49"/>
        <v>0</v>
      </c>
      <c r="N59" s="109">
        <f t="shared" si="49"/>
        <v>0</v>
      </c>
      <c r="O59" s="109">
        <f t="shared" si="49"/>
        <v>0</v>
      </c>
      <c r="P59" s="109">
        <f t="shared" si="49"/>
        <v>0</v>
      </c>
      <c r="Q59" s="109">
        <f t="shared" si="49"/>
        <v>0</v>
      </c>
    </row>
    <row r="60" spans="1:17" ht="14.25" customHeight="1">
      <c r="A60" s="107"/>
      <c r="B60" s="107"/>
      <c r="C60" s="109"/>
      <c r="D60" s="109"/>
      <c r="E60" s="109"/>
      <c r="F60" s="109"/>
      <c r="G60" s="109"/>
      <c r="H60" s="109"/>
      <c r="I60" s="109"/>
      <c r="J60" s="56"/>
      <c r="K60" s="109"/>
      <c r="L60" s="109"/>
      <c r="M60" s="109"/>
      <c r="N60" s="109"/>
      <c r="O60" s="109"/>
      <c r="P60" s="109"/>
      <c r="Q60" s="109"/>
    </row>
    <row r="61" spans="1:17" ht="14.25" customHeight="1">
      <c r="A61" s="110" t="s">
        <v>238</v>
      </c>
      <c r="B61" s="107"/>
      <c r="C61" s="109"/>
      <c r="D61" s="109"/>
      <c r="E61" s="109"/>
      <c r="F61" s="109"/>
      <c r="G61" s="109"/>
      <c r="H61" s="109"/>
      <c r="I61" s="109"/>
      <c r="J61" s="56"/>
      <c r="K61" s="109"/>
      <c r="L61" s="109"/>
      <c r="M61" s="109"/>
      <c r="N61" s="109"/>
      <c r="O61" s="109"/>
      <c r="P61" s="109"/>
      <c r="Q61" s="109"/>
    </row>
    <row r="62" spans="1:17" ht="14.25" customHeight="1">
      <c r="A62" s="107" t="str">
        <f t="shared" ref="A62:A65" si="50">A56</f>
        <v>Asset Value</v>
      </c>
      <c r="B62" s="107"/>
      <c r="C62" s="109">
        <f>'1.Project Cost and MOF'!D8</f>
        <v>140000</v>
      </c>
      <c r="D62" s="109">
        <f t="shared" ref="D62:I62" si="51">C65</f>
        <v>126000</v>
      </c>
      <c r="E62" s="109">
        <f t="shared" si="51"/>
        <v>112000</v>
      </c>
      <c r="F62" s="109">
        <f t="shared" si="51"/>
        <v>98000</v>
      </c>
      <c r="G62" s="109">
        <f t="shared" si="51"/>
        <v>84000</v>
      </c>
      <c r="H62" s="109">
        <f t="shared" si="51"/>
        <v>70000</v>
      </c>
      <c r="I62" s="109">
        <f t="shared" si="51"/>
        <v>56000</v>
      </c>
      <c r="J62" s="56"/>
      <c r="K62" s="109">
        <f>C62</f>
        <v>140000</v>
      </c>
      <c r="L62" s="109">
        <f t="shared" ref="L62:Q62" si="52">K65</f>
        <v>84000</v>
      </c>
      <c r="M62" s="109">
        <f t="shared" si="52"/>
        <v>50400</v>
      </c>
      <c r="N62" s="109">
        <f t="shared" si="52"/>
        <v>30240</v>
      </c>
      <c r="O62" s="109">
        <f t="shared" si="52"/>
        <v>18144</v>
      </c>
      <c r="P62" s="109">
        <f t="shared" si="52"/>
        <v>10886.4</v>
      </c>
      <c r="Q62" s="109">
        <f t="shared" si="52"/>
        <v>6531.8399999999992</v>
      </c>
    </row>
    <row r="63" spans="1:17" ht="14.25" customHeight="1">
      <c r="A63" s="107" t="str">
        <f t="shared" si="50"/>
        <v>Depreciation</v>
      </c>
      <c r="B63" s="107"/>
      <c r="C63" s="109">
        <f t="shared" ref="C63:I63" si="53">$C$62*$B$77</f>
        <v>14000</v>
      </c>
      <c r="D63" s="109">
        <f t="shared" si="53"/>
        <v>14000</v>
      </c>
      <c r="E63" s="109">
        <f t="shared" si="53"/>
        <v>14000</v>
      </c>
      <c r="F63" s="109">
        <f t="shared" si="53"/>
        <v>14000</v>
      </c>
      <c r="G63" s="109">
        <f t="shared" si="53"/>
        <v>14000</v>
      </c>
      <c r="H63" s="109">
        <f t="shared" si="53"/>
        <v>14000</v>
      </c>
      <c r="I63" s="109">
        <f t="shared" si="53"/>
        <v>14000</v>
      </c>
      <c r="J63" s="56"/>
      <c r="K63" s="109">
        <f t="shared" ref="K63:Q63" si="54">K62*$C$77</f>
        <v>56000</v>
      </c>
      <c r="L63" s="109">
        <f t="shared" si="54"/>
        <v>33600</v>
      </c>
      <c r="M63" s="109">
        <f t="shared" si="54"/>
        <v>20160</v>
      </c>
      <c r="N63" s="109">
        <f t="shared" si="54"/>
        <v>12096</v>
      </c>
      <c r="O63" s="109">
        <f t="shared" si="54"/>
        <v>7257.6</v>
      </c>
      <c r="P63" s="109">
        <f t="shared" si="54"/>
        <v>4354.5600000000004</v>
      </c>
      <c r="Q63" s="109">
        <f t="shared" si="54"/>
        <v>2612.7359999999999</v>
      </c>
    </row>
    <row r="64" spans="1:17" ht="14.25" customHeight="1">
      <c r="A64" s="107" t="str">
        <f t="shared" si="50"/>
        <v>Accumulated Depreciation</v>
      </c>
      <c r="B64" s="107"/>
      <c r="C64" s="109">
        <f>C63</f>
        <v>14000</v>
      </c>
      <c r="D64" s="109">
        <f t="shared" ref="D64:I64" si="55">D63+C64</f>
        <v>28000</v>
      </c>
      <c r="E64" s="109">
        <f t="shared" si="55"/>
        <v>42000</v>
      </c>
      <c r="F64" s="109">
        <f t="shared" si="55"/>
        <v>56000</v>
      </c>
      <c r="G64" s="109">
        <f t="shared" si="55"/>
        <v>70000</v>
      </c>
      <c r="H64" s="109">
        <f t="shared" si="55"/>
        <v>84000</v>
      </c>
      <c r="I64" s="109">
        <f t="shared" si="55"/>
        <v>98000</v>
      </c>
      <c r="J64" s="56"/>
      <c r="K64" s="109">
        <f>K63</f>
        <v>56000</v>
      </c>
      <c r="L64" s="109">
        <f t="shared" ref="L64:Q64" si="56">L63+K64</f>
        <v>89600</v>
      </c>
      <c r="M64" s="109">
        <f t="shared" si="56"/>
        <v>109760</v>
      </c>
      <c r="N64" s="109">
        <f t="shared" si="56"/>
        <v>121856</v>
      </c>
      <c r="O64" s="109">
        <f t="shared" si="56"/>
        <v>129113.60000000001</v>
      </c>
      <c r="P64" s="109">
        <f t="shared" si="56"/>
        <v>133468.16</v>
      </c>
      <c r="Q64" s="109">
        <f t="shared" si="56"/>
        <v>136080.89600000001</v>
      </c>
    </row>
    <row r="65" spans="1:17" ht="14.25" customHeight="1">
      <c r="A65" s="107" t="str">
        <f t="shared" si="50"/>
        <v>Net Fixed Assets</v>
      </c>
      <c r="B65" s="107"/>
      <c r="C65" s="109">
        <f t="shared" ref="C65:I65" si="57">C62-C63</f>
        <v>126000</v>
      </c>
      <c r="D65" s="109">
        <f t="shared" si="57"/>
        <v>112000</v>
      </c>
      <c r="E65" s="109">
        <f t="shared" si="57"/>
        <v>98000</v>
      </c>
      <c r="F65" s="109">
        <f t="shared" si="57"/>
        <v>84000</v>
      </c>
      <c r="G65" s="109">
        <f t="shared" si="57"/>
        <v>70000</v>
      </c>
      <c r="H65" s="109">
        <f t="shared" si="57"/>
        <v>56000</v>
      </c>
      <c r="I65" s="109">
        <f t="shared" si="57"/>
        <v>42000</v>
      </c>
      <c r="J65" s="56"/>
      <c r="K65" s="109">
        <f t="shared" ref="K65:Q65" si="58">K62-K63</f>
        <v>84000</v>
      </c>
      <c r="L65" s="109">
        <f t="shared" si="58"/>
        <v>50400</v>
      </c>
      <c r="M65" s="109">
        <f t="shared" si="58"/>
        <v>30240</v>
      </c>
      <c r="N65" s="109">
        <f t="shared" si="58"/>
        <v>18144</v>
      </c>
      <c r="O65" s="109">
        <f t="shared" si="58"/>
        <v>10886.4</v>
      </c>
      <c r="P65" s="109">
        <f t="shared" si="58"/>
        <v>6531.8399999999992</v>
      </c>
      <c r="Q65" s="109">
        <f t="shared" si="58"/>
        <v>3919.1039999999994</v>
      </c>
    </row>
    <row r="66" spans="1:17" ht="14.25" customHeight="1">
      <c r="A66" s="108" t="s">
        <v>239</v>
      </c>
      <c r="B66" s="108"/>
      <c r="C66" s="111">
        <f t="shared" ref="C66:I66" si="59">C50+C44+C38+C56+C62</f>
        <v>26652599.240000002</v>
      </c>
      <c r="D66" s="111">
        <f>D50+D44+D38+D56+D62</f>
        <v>25400081.508108001</v>
      </c>
      <c r="E66" s="111">
        <f t="shared" si="59"/>
        <v>24147563.776216</v>
      </c>
      <c r="F66" s="111">
        <f t="shared" si="59"/>
        <v>22895046.044324003</v>
      </c>
      <c r="G66" s="111">
        <f t="shared" si="59"/>
        <v>21642528.312432006</v>
      </c>
      <c r="H66" s="111">
        <f t="shared" si="59"/>
        <v>20390010.580540005</v>
      </c>
      <c r="I66" s="111">
        <f t="shared" si="59"/>
        <v>19137492.848648004</v>
      </c>
      <c r="J66" s="56"/>
      <c r="K66" s="111">
        <f t="shared" ref="K66:Q66" si="60">K50+K44+K38+K56+K62</f>
        <v>26652599.240000002</v>
      </c>
      <c r="L66" s="111">
        <f t="shared" si="60"/>
        <v>23315484.354000002</v>
      </c>
      <c r="M66" s="111">
        <f t="shared" si="60"/>
        <v>20423359.2009</v>
      </c>
      <c r="N66" s="111">
        <f t="shared" si="60"/>
        <v>17910833.070765</v>
      </c>
      <c r="O66" s="111">
        <f t="shared" si="60"/>
        <v>15723868.085150251</v>
      </c>
      <c r="P66" s="111">
        <f t="shared" si="60"/>
        <v>13817249.849877713</v>
      </c>
      <c r="Q66" s="111">
        <f t="shared" si="60"/>
        <v>12152788.952146057</v>
      </c>
    </row>
    <row r="67" spans="1:17" ht="14.25" customHeight="1">
      <c r="A67" s="108" t="s">
        <v>240</v>
      </c>
      <c r="B67" s="108"/>
      <c r="C67" s="111">
        <f t="shared" ref="C67:I67" si="61">C51+C45+C39+C57+C63</f>
        <v>1252517.731892</v>
      </c>
      <c r="D67" s="111">
        <f t="shared" si="61"/>
        <v>1252517.731892</v>
      </c>
      <c r="E67" s="111">
        <f t="shared" si="61"/>
        <v>1252517.731892</v>
      </c>
      <c r="F67" s="111">
        <f t="shared" si="61"/>
        <v>1252517.731892</v>
      </c>
      <c r="G67" s="111">
        <f t="shared" si="61"/>
        <v>1252517.731892</v>
      </c>
      <c r="H67" s="111">
        <f t="shared" si="61"/>
        <v>1252517.731892</v>
      </c>
      <c r="I67" s="111">
        <f t="shared" si="61"/>
        <v>1252517.731892</v>
      </c>
      <c r="J67" s="56"/>
      <c r="K67" s="111">
        <f t="shared" ref="K67:Q67" si="62">K51+K45+K39+K57+K63</f>
        <v>3337114.8859999999</v>
      </c>
      <c r="L67" s="111">
        <f t="shared" si="62"/>
        <v>2892125.1530999998</v>
      </c>
      <c r="M67" s="111">
        <f t="shared" si="62"/>
        <v>2512526.1301349998</v>
      </c>
      <c r="N67" s="111">
        <f t="shared" si="62"/>
        <v>2186964.9856147501</v>
      </c>
      <c r="O67" s="111">
        <f t="shared" si="62"/>
        <v>1906618.2352725377</v>
      </c>
      <c r="P67" s="111">
        <f t="shared" si="62"/>
        <v>1664460.8977316571</v>
      </c>
      <c r="Q67" s="111">
        <f t="shared" si="62"/>
        <v>1454787.9410469085</v>
      </c>
    </row>
    <row r="68" spans="1:17" ht="14.25" customHeight="1">
      <c r="A68" s="108" t="s">
        <v>241</v>
      </c>
      <c r="B68" s="108"/>
      <c r="C68" s="111">
        <f t="shared" ref="C68:I68" si="63">C52+C46+C40+C58+C64</f>
        <v>1252517.731892</v>
      </c>
      <c r="D68" s="111">
        <f t="shared" si="63"/>
        <v>2505035.4637839999</v>
      </c>
      <c r="E68" s="111">
        <f t="shared" si="63"/>
        <v>3757553.1956759999</v>
      </c>
      <c r="F68" s="111">
        <f t="shared" si="63"/>
        <v>5010070.9275679998</v>
      </c>
      <c r="G68" s="111">
        <f t="shared" si="63"/>
        <v>6262588.6594599998</v>
      </c>
      <c r="H68" s="111">
        <f t="shared" si="63"/>
        <v>7515106.3913519997</v>
      </c>
      <c r="I68" s="111">
        <f t="shared" si="63"/>
        <v>8767624.1232440006</v>
      </c>
      <c r="J68" s="56"/>
      <c r="K68" s="111">
        <f t="shared" ref="K68:Q68" si="64">K52+K46+K40+K58+K64</f>
        <v>3337114.8859999999</v>
      </c>
      <c r="L68" s="111">
        <f t="shared" si="64"/>
        <v>6229240.0390999997</v>
      </c>
      <c r="M68" s="111">
        <f t="shared" si="64"/>
        <v>8741766.1692349985</v>
      </c>
      <c r="N68" s="111">
        <f t="shared" si="64"/>
        <v>10928731.154849749</v>
      </c>
      <c r="O68" s="111">
        <f t="shared" si="64"/>
        <v>12835349.390122287</v>
      </c>
      <c r="P68" s="111">
        <f t="shared" si="64"/>
        <v>14499810.287853945</v>
      </c>
      <c r="Q68" s="111">
        <f t="shared" si="64"/>
        <v>15954598.228900854</v>
      </c>
    </row>
    <row r="69" spans="1:17" ht="14.25" customHeight="1">
      <c r="A69" s="108" t="s">
        <v>234</v>
      </c>
      <c r="B69" s="108"/>
      <c r="C69" s="111">
        <f t="shared" ref="C69:I69" si="65">C53+C47+C41+C59+C65</f>
        <v>25400081.508108001</v>
      </c>
      <c r="D69" s="111">
        <f t="shared" si="65"/>
        <v>24147563.776216</v>
      </c>
      <c r="E69" s="111">
        <f t="shared" si="65"/>
        <v>22895046.044324003</v>
      </c>
      <c r="F69" s="111">
        <f t="shared" si="65"/>
        <v>21642528.312432006</v>
      </c>
      <c r="G69" s="111">
        <f t="shared" si="65"/>
        <v>20390010.580540005</v>
      </c>
      <c r="H69" s="111">
        <f t="shared" si="65"/>
        <v>19137492.848648004</v>
      </c>
      <c r="I69" s="111">
        <f t="shared" si="65"/>
        <v>17884975.116756007</v>
      </c>
      <c r="J69" s="56"/>
      <c r="K69" s="111">
        <f t="shared" ref="K69:Q69" si="66">K53+K47+K41+K59+K65</f>
        <v>23315484.354000002</v>
      </c>
      <c r="L69" s="111">
        <f t="shared" si="66"/>
        <v>20423359.2009</v>
      </c>
      <c r="M69" s="111">
        <f t="shared" si="66"/>
        <v>17910833.070765</v>
      </c>
      <c r="N69" s="111">
        <f t="shared" si="66"/>
        <v>15723868.085150251</v>
      </c>
      <c r="O69" s="111">
        <f t="shared" si="66"/>
        <v>13817249.849877713</v>
      </c>
      <c r="P69" s="111">
        <f t="shared" si="66"/>
        <v>12152788.952146057</v>
      </c>
      <c r="Q69" s="111">
        <f t="shared" si="66"/>
        <v>10698001.011099149</v>
      </c>
    </row>
    <row r="70" spans="1:17" ht="14.25" customHeight="1">
      <c r="A70" s="112"/>
      <c r="B70" s="112"/>
      <c r="C70" s="113"/>
      <c r="D70" s="113"/>
      <c r="E70" s="113"/>
      <c r="F70" s="113"/>
      <c r="G70" s="113"/>
      <c r="H70" s="113"/>
      <c r="I70" s="113"/>
      <c r="J70" s="92"/>
    </row>
    <row r="71" spans="1:17" ht="14.25" customHeight="1">
      <c r="A71" s="92"/>
      <c r="B71" s="92"/>
      <c r="C71" s="92"/>
      <c r="D71" s="92"/>
      <c r="E71" s="92"/>
      <c r="F71" s="92"/>
      <c r="G71" s="92"/>
      <c r="H71" s="92"/>
      <c r="I71" s="92"/>
      <c r="J71" s="92"/>
    </row>
    <row r="72" spans="1:17" ht="14.25" customHeight="1">
      <c r="A72" s="114" t="s">
        <v>242</v>
      </c>
      <c r="B72" s="115" t="s">
        <v>243</v>
      </c>
      <c r="C72" s="115" t="s">
        <v>244</v>
      </c>
      <c r="D72" s="92"/>
      <c r="E72" s="92"/>
      <c r="F72" s="92"/>
      <c r="G72" s="92"/>
      <c r="H72" s="92"/>
      <c r="I72" s="92"/>
      <c r="J72" s="92"/>
    </row>
    <row r="73" spans="1:17" ht="14.25" customHeight="1">
      <c r="A73" s="115" t="s">
        <v>245</v>
      </c>
      <c r="B73" s="116" t="s">
        <v>246</v>
      </c>
      <c r="C73" s="117" t="s">
        <v>247</v>
      </c>
      <c r="D73" s="92"/>
      <c r="E73" s="92"/>
      <c r="F73" s="92"/>
      <c r="G73" s="92"/>
      <c r="H73" s="92"/>
      <c r="I73" s="92"/>
      <c r="J73" s="92"/>
    </row>
    <row r="74" spans="1:17" ht="14.25" customHeight="1">
      <c r="A74" s="115" t="s">
        <v>118</v>
      </c>
      <c r="B74" s="94">
        <v>0</v>
      </c>
      <c r="C74" s="94">
        <v>0</v>
      </c>
      <c r="D74" s="92"/>
      <c r="E74" s="92"/>
      <c r="F74" s="92"/>
      <c r="G74" s="92"/>
      <c r="H74" s="92"/>
      <c r="I74" s="92"/>
      <c r="J74" s="92"/>
    </row>
    <row r="75" spans="1:17" ht="14.25" customHeight="1">
      <c r="A75" s="118" t="s">
        <v>230</v>
      </c>
      <c r="B75" s="94">
        <v>3.1699999999999999E-2</v>
      </c>
      <c r="C75" s="94">
        <v>0.1</v>
      </c>
      <c r="D75" s="93"/>
      <c r="E75" s="92"/>
      <c r="F75" s="92"/>
      <c r="G75" s="92"/>
      <c r="H75" s="92"/>
      <c r="I75" s="92"/>
      <c r="J75" s="92"/>
    </row>
    <row r="76" spans="1:17" ht="14.25" customHeight="1">
      <c r="A76" s="118" t="s">
        <v>236</v>
      </c>
      <c r="B76" s="119">
        <v>0.1</v>
      </c>
      <c r="C76" s="94">
        <v>0.1</v>
      </c>
      <c r="D76" s="92"/>
      <c r="E76" s="92"/>
      <c r="F76" s="92"/>
      <c r="G76" s="92"/>
      <c r="H76" s="92"/>
      <c r="I76" s="92"/>
      <c r="J76" s="92"/>
    </row>
    <row r="77" spans="1:17" ht="14.25" customHeight="1">
      <c r="A77" s="92" t="s">
        <v>248</v>
      </c>
      <c r="B77" s="119">
        <v>0.1</v>
      </c>
      <c r="C77" s="119">
        <v>0.4</v>
      </c>
      <c r="D77" s="92"/>
      <c r="E77" s="92"/>
      <c r="F77" s="92"/>
      <c r="G77" s="92"/>
      <c r="H77" s="92"/>
      <c r="I77" s="92"/>
      <c r="J77" s="92"/>
    </row>
    <row r="78" spans="1:17" ht="14.25" customHeight="1">
      <c r="A78" s="92" t="s">
        <v>192</v>
      </c>
      <c r="B78" s="119">
        <v>0.1188</v>
      </c>
      <c r="C78" s="119">
        <v>0.15</v>
      </c>
      <c r="D78" s="92"/>
      <c r="E78" s="92"/>
      <c r="F78" s="92"/>
      <c r="G78" s="92"/>
      <c r="H78" s="92"/>
      <c r="I78" s="92"/>
      <c r="J78" s="92"/>
    </row>
    <row r="79" spans="1:17" ht="14.25" customHeight="1">
      <c r="A79" s="118" t="s">
        <v>249</v>
      </c>
      <c r="B79" s="119">
        <v>6.3299999999999995E-2</v>
      </c>
      <c r="C79" s="119">
        <v>0.15</v>
      </c>
      <c r="D79" s="92"/>
      <c r="E79" s="92"/>
      <c r="F79" s="92"/>
      <c r="G79" s="92"/>
      <c r="H79" s="92"/>
      <c r="I79" s="92"/>
      <c r="J79" s="92"/>
    </row>
    <row r="80" spans="1:17" ht="14.25" customHeight="1">
      <c r="A80" s="115" t="s">
        <v>242</v>
      </c>
      <c r="B80" s="94"/>
      <c r="C80" s="93"/>
      <c r="D80" s="92"/>
      <c r="E80" s="92"/>
      <c r="F80" s="92"/>
      <c r="G80" s="92"/>
      <c r="H80" s="92"/>
      <c r="I80" s="92"/>
      <c r="J80" s="92"/>
    </row>
    <row r="81" spans="1:17" ht="14.25" customHeight="1">
      <c r="A81" s="118" t="s">
        <v>250</v>
      </c>
      <c r="B81" s="93">
        <v>0.2</v>
      </c>
      <c r="C81" s="93">
        <v>0.2</v>
      </c>
      <c r="D81" s="92"/>
      <c r="E81" s="92"/>
      <c r="F81" s="92"/>
      <c r="G81" s="92"/>
      <c r="H81" s="92"/>
      <c r="I81" s="92"/>
      <c r="J81" s="92"/>
    </row>
    <row r="82" spans="1:17" ht="14.25" customHeight="1">
      <c r="A82" s="92"/>
      <c r="B82" s="92"/>
      <c r="C82" s="92"/>
      <c r="D82" s="92"/>
      <c r="E82" s="92"/>
      <c r="F82" s="92"/>
      <c r="G82" s="92"/>
      <c r="H82" s="92"/>
      <c r="I82" s="92"/>
      <c r="J82" s="92"/>
    </row>
    <row r="83" spans="1:17" ht="14.25" customHeight="1">
      <c r="A83" s="92"/>
      <c r="B83" s="92"/>
      <c r="C83" s="92"/>
      <c r="D83" s="92"/>
      <c r="E83" s="93"/>
      <c r="F83" s="92"/>
      <c r="G83" s="92"/>
      <c r="H83" s="92"/>
      <c r="I83" s="92"/>
      <c r="J83" s="92"/>
    </row>
    <row r="84" spans="1:17" ht="14.25" customHeight="1">
      <c r="A84" s="359" t="s">
        <v>251</v>
      </c>
      <c r="B84" s="360"/>
      <c r="C84" s="360"/>
      <c r="D84" s="360"/>
      <c r="E84" s="360"/>
      <c r="F84" s="360"/>
      <c r="G84" s="360"/>
      <c r="H84" s="360"/>
      <c r="I84" s="360"/>
      <c r="J84" s="360"/>
      <c r="K84" s="120"/>
      <c r="L84" s="120"/>
      <c r="M84" s="120"/>
      <c r="N84" s="120"/>
      <c r="O84" s="120"/>
      <c r="P84" s="120"/>
      <c r="Q84" s="120"/>
    </row>
    <row r="85" spans="1:17" ht="14.25" customHeight="1">
      <c r="A85" s="121"/>
      <c r="B85" s="121"/>
      <c r="C85" s="120"/>
      <c r="D85" s="120"/>
      <c r="E85" s="120"/>
      <c r="F85" s="120"/>
      <c r="G85" s="120"/>
      <c r="H85" s="120"/>
      <c r="I85" s="120"/>
      <c r="J85" s="120"/>
      <c r="K85" s="120"/>
      <c r="L85" s="120"/>
      <c r="M85" s="120"/>
      <c r="N85" s="120"/>
      <c r="O85" s="120"/>
      <c r="P85" s="120"/>
      <c r="Q85" s="120"/>
    </row>
    <row r="86" spans="1:17" ht="14.25" customHeight="1">
      <c r="A86" s="122" t="s">
        <v>201</v>
      </c>
      <c r="B86" s="123" t="s">
        <v>252</v>
      </c>
      <c r="C86" s="124" t="s">
        <v>204</v>
      </c>
      <c r="D86" s="124" t="s">
        <v>205</v>
      </c>
      <c r="E86" s="124" t="s">
        <v>206</v>
      </c>
      <c r="F86" s="124" t="s">
        <v>207</v>
      </c>
      <c r="G86" s="124" t="s">
        <v>208</v>
      </c>
      <c r="H86" s="124" t="s">
        <v>209</v>
      </c>
      <c r="I86" s="124" t="s">
        <v>210</v>
      </c>
      <c r="J86" s="125"/>
      <c r="K86" s="125"/>
      <c r="L86" s="125"/>
      <c r="M86" s="120"/>
      <c r="N86" s="120"/>
      <c r="O86" s="120"/>
      <c r="P86" s="120"/>
      <c r="Q86" s="120"/>
    </row>
    <row r="87" spans="1:17" ht="14.25" customHeight="1">
      <c r="A87" s="126" t="s">
        <v>194</v>
      </c>
      <c r="B87" s="127">
        <v>5</v>
      </c>
      <c r="C87" s="109">
        <f>'1.Project Cost and MOF'!$D$10/5</f>
        <v>27000</v>
      </c>
      <c r="D87" s="109">
        <f>'1.Project Cost and MOF'!$D$10/5</f>
        <v>27000</v>
      </c>
      <c r="E87" s="109">
        <f>'1.Project Cost and MOF'!$D$10/5</f>
        <v>27000</v>
      </c>
      <c r="F87" s="109">
        <f>'1.Project Cost and MOF'!$D$10/5</f>
        <v>27000</v>
      </c>
      <c r="G87" s="109">
        <f>'1.Project Cost and MOF'!$D$10/5</f>
        <v>27000</v>
      </c>
      <c r="H87" s="109">
        <v>0</v>
      </c>
      <c r="I87" s="109">
        <v>0</v>
      </c>
      <c r="J87" s="125"/>
      <c r="K87" s="125"/>
      <c r="L87" s="125"/>
      <c r="M87" s="120"/>
      <c r="N87" s="120"/>
      <c r="O87" s="120"/>
      <c r="P87" s="120"/>
      <c r="Q87" s="120"/>
    </row>
    <row r="88" spans="1:17" ht="14.25" customHeight="1">
      <c r="A88" s="128" t="s">
        <v>253</v>
      </c>
      <c r="B88" s="129"/>
      <c r="C88" s="111">
        <f t="shared" ref="C88:I88" si="67">SUM(C86:C87)</f>
        <v>27000</v>
      </c>
      <c r="D88" s="111">
        <f t="shared" si="67"/>
        <v>27000</v>
      </c>
      <c r="E88" s="111">
        <f t="shared" si="67"/>
        <v>27000</v>
      </c>
      <c r="F88" s="111">
        <f t="shared" si="67"/>
        <v>27000</v>
      </c>
      <c r="G88" s="111">
        <f t="shared" si="67"/>
        <v>27000</v>
      </c>
      <c r="H88" s="111">
        <f t="shared" si="67"/>
        <v>0</v>
      </c>
      <c r="I88" s="111">
        <f t="shared" si="67"/>
        <v>0</v>
      </c>
      <c r="J88" s="130"/>
      <c r="K88" s="130"/>
      <c r="L88" s="130"/>
      <c r="M88" s="120"/>
      <c r="N88" s="120"/>
      <c r="O88" s="120"/>
      <c r="P88" s="120"/>
      <c r="Q88" s="120"/>
    </row>
    <row r="89" spans="1:17" ht="14.25" customHeight="1">
      <c r="A89" s="120"/>
      <c r="B89" s="120"/>
      <c r="C89" s="125"/>
      <c r="D89" s="125"/>
      <c r="E89" s="125"/>
      <c r="F89" s="125"/>
      <c r="G89" s="125"/>
      <c r="H89" s="125"/>
      <c r="I89" s="125"/>
      <c r="J89" s="125"/>
      <c r="K89" s="125"/>
      <c r="L89" s="125"/>
      <c r="M89" s="120"/>
      <c r="N89" s="120"/>
      <c r="O89" s="120"/>
      <c r="P89" s="120"/>
      <c r="Q89" s="120"/>
    </row>
    <row r="90" spans="1:17" ht="14.25" customHeight="1"/>
    <row r="91" spans="1:17" ht="14.25" customHeight="1"/>
    <row r="92" spans="1:17" ht="14.25" customHeight="1">
      <c r="A92" s="131"/>
      <c r="B92" s="120"/>
      <c r="C92" s="120"/>
      <c r="D92" s="120"/>
      <c r="E92" s="120"/>
      <c r="F92" s="120"/>
      <c r="G92" s="120"/>
      <c r="H92" s="120"/>
      <c r="I92" s="120"/>
      <c r="J92" s="120"/>
      <c r="K92" s="120"/>
    </row>
    <row r="93" spans="1:17" ht="14.25" customHeight="1">
      <c r="A93" s="375" t="s">
        <v>254</v>
      </c>
      <c r="B93" s="360"/>
      <c r="C93" s="360"/>
      <c r="D93" s="360"/>
      <c r="E93" s="360"/>
      <c r="F93" s="360"/>
      <c r="G93" s="360"/>
      <c r="H93" s="360"/>
      <c r="I93" s="132"/>
      <c r="J93" s="132"/>
      <c r="K93" s="132"/>
    </row>
    <row r="94" spans="1:17" ht="14.25" customHeight="1">
      <c r="A94" s="121"/>
      <c r="B94" s="120"/>
      <c r="C94" s="120"/>
      <c r="D94" s="120"/>
      <c r="E94" s="120"/>
      <c r="F94" s="120"/>
      <c r="G94" s="120"/>
      <c r="H94" s="120"/>
      <c r="I94" s="120"/>
      <c r="J94" s="120"/>
      <c r="K94" s="120"/>
    </row>
    <row r="95" spans="1:17" ht="14.25" customHeight="1">
      <c r="A95" s="95" t="s">
        <v>201</v>
      </c>
      <c r="B95" s="96" t="s">
        <v>204</v>
      </c>
      <c r="C95" s="96" t="s">
        <v>205</v>
      </c>
      <c r="D95" s="96" t="s">
        <v>206</v>
      </c>
      <c r="E95" s="96" t="s">
        <v>207</v>
      </c>
      <c r="F95" s="96" t="s">
        <v>208</v>
      </c>
      <c r="G95" s="96" t="s">
        <v>209</v>
      </c>
      <c r="H95" s="96" t="s">
        <v>210</v>
      </c>
      <c r="I95" s="132"/>
      <c r="J95" s="132"/>
      <c r="K95" s="132"/>
    </row>
    <row r="96" spans="1:17" ht="14.25" customHeight="1">
      <c r="A96" s="133" t="s">
        <v>255</v>
      </c>
      <c r="B96" s="134">
        <f>'6.Cons Profit &amp; Loss'!B49</f>
        <v>1405629.9635680956</v>
      </c>
      <c r="C96" s="134">
        <f>'6.Cons Profit &amp; Loss'!C49</f>
        <v>3468888.6404706822</v>
      </c>
      <c r="D96" s="134">
        <f>'6.Cons Profit &amp; Loss'!D49</f>
        <v>4923054.616633418</v>
      </c>
      <c r="E96" s="134">
        <f>'6.Cons Profit &amp; Loss'!E49</f>
        <v>6513942.2183461795</v>
      </c>
      <c r="F96" s="134">
        <f>'6.Cons Profit &amp; Loss'!F49</f>
        <v>8252726.5501791388</v>
      </c>
      <c r="G96" s="134">
        <f>'6.Cons Profit &amp; Loss'!G49</f>
        <v>9955088.2918672096</v>
      </c>
      <c r="H96" s="134">
        <f>'6.Cons Profit &amp; Loss'!H49</f>
        <v>11615381.853010457</v>
      </c>
      <c r="I96" s="135"/>
      <c r="J96" s="135"/>
      <c r="K96" s="135"/>
    </row>
    <row r="97" spans="1:11" ht="14.25" customHeight="1">
      <c r="A97" s="133" t="s">
        <v>256</v>
      </c>
      <c r="B97" s="134">
        <f>'6.Cons Profit &amp; Loss'!B42</f>
        <v>1252517.731892</v>
      </c>
      <c r="C97" s="134">
        <f>'6.Cons Profit &amp; Loss'!C42</f>
        <v>1252517.731892</v>
      </c>
      <c r="D97" s="134">
        <f>'6.Cons Profit &amp; Loss'!D42</f>
        <v>1252517.731892</v>
      </c>
      <c r="E97" s="134">
        <f>'6.Cons Profit &amp; Loss'!E42</f>
        <v>1252517.731892</v>
      </c>
      <c r="F97" s="134">
        <f>'6.Cons Profit &amp; Loss'!F42</f>
        <v>1252517.731892</v>
      </c>
      <c r="G97" s="134">
        <f>'6.Cons Profit &amp; Loss'!G42</f>
        <v>1252517.731892</v>
      </c>
      <c r="H97" s="134">
        <f>'6.Cons Profit &amp; Loss'!H42</f>
        <v>1252517.731892</v>
      </c>
      <c r="I97" s="135"/>
      <c r="J97" s="135"/>
      <c r="K97" s="135"/>
    </row>
    <row r="98" spans="1:11" ht="14.25" customHeight="1">
      <c r="A98" s="133" t="s">
        <v>257</v>
      </c>
      <c r="B98" s="134">
        <f>'3.Other Exp &amp; Taxes'!K67</f>
        <v>3337114.8859999999</v>
      </c>
      <c r="C98" s="134">
        <f>'3.Other Exp &amp; Taxes'!L67</f>
        <v>2892125.1530999998</v>
      </c>
      <c r="D98" s="134">
        <f>'3.Other Exp &amp; Taxes'!M67</f>
        <v>2512526.1301349998</v>
      </c>
      <c r="E98" s="134">
        <f>'3.Other Exp &amp; Taxes'!N67</f>
        <v>2186964.9856147501</v>
      </c>
      <c r="F98" s="134">
        <f>'3.Other Exp &amp; Taxes'!O67</f>
        <v>1906618.2352725377</v>
      </c>
      <c r="G98" s="134">
        <f>'3.Other Exp &amp; Taxes'!P67</f>
        <v>1664460.8977316571</v>
      </c>
      <c r="H98" s="134">
        <f>'3.Other Exp &amp; Taxes'!Q67</f>
        <v>1454787.9410469085</v>
      </c>
      <c r="I98" s="135"/>
      <c r="J98" s="135"/>
      <c r="K98" s="135"/>
    </row>
    <row r="99" spans="1:11" ht="14.25" customHeight="1">
      <c r="A99" s="133" t="s">
        <v>258</v>
      </c>
      <c r="B99" s="134">
        <f t="shared" ref="B99:H99" si="68">B96+B97-B98</f>
        <v>-678967.1905399044</v>
      </c>
      <c r="C99" s="134">
        <f t="shared" si="68"/>
        <v>1829281.2192626828</v>
      </c>
      <c r="D99" s="134">
        <f t="shared" si="68"/>
        <v>3663046.2183904182</v>
      </c>
      <c r="E99" s="134">
        <f t="shared" si="68"/>
        <v>5579494.9646234289</v>
      </c>
      <c r="F99" s="134">
        <f t="shared" si="68"/>
        <v>7598626.0467986017</v>
      </c>
      <c r="G99" s="134">
        <f t="shared" si="68"/>
        <v>9543145.1260275505</v>
      </c>
      <c r="H99" s="134">
        <f t="shared" si="68"/>
        <v>11413111.643855549</v>
      </c>
      <c r="I99" s="135"/>
      <c r="J99" s="135"/>
      <c r="K99" s="135"/>
    </row>
    <row r="100" spans="1:11" ht="14.25" customHeight="1">
      <c r="A100" s="136" t="s">
        <v>259</v>
      </c>
      <c r="B100" s="137" t="str">
        <f t="shared" ref="B100:H100" si="69">IF(B99&gt;0,B99*$B$103,"0")</f>
        <v>0</v>
      </c>
      <c r="C100" s="137">
        <f t="shared" si="69"/>
        <v>475613.11700829753</v>
      </c>
      <c r="D100" s="137">
        <f t="shared" si="69"/>
        <v>952392.01678150881</v>
      </c>
      <c r="E100" s="137">
        <f t="shared" si="69"/>
        <v>1450668.6908020915</v>
      </c>
      <c r="F100" s="137">
        <f t="shared" si="69"/>
        <v>1975642.7721676365</v>
      </c>
      <c r="G100" s="137">
        <f t="shared" si="69"/>
        <v>2481217.7327671633</v>
      </c>
      <c r="H100" s="137">
        <f t="shared" si="69"/>
        <v>2967409.0274024429</v>
      </c>
      <c r="I100" s="135"/>
      <c r="J100" s="135"/>
      <c r="K100" s="135"/>
    </row>
    <row r="101" spans="1:11" ht="14.25" customHeight="1">
      <c r="A101" s="138"/>
      <c r="B101" s="120"/>
      <c r="C101" s="120"/>
      <c r="D101" s="120"/>
      <c r="E101" s="120"/>
      <c r="F101" s="120"/>
      <c r="G101" s="120"/>
      <c r="H101" s="120"/>
      <c r="I101" s="120"/>
      <c r="J101" s="120"/>
      <c r="K101" s="120"/>
    </row>
    <row r="102" spans="1:11" ht="14.25" customHeight="1">
      <c r="A102" s="138"/>
      <c r="B102" s="125"/>
      <c r="C102" s="125"/>
      <c r="D102" s="125"/>
      <c r="E102" s="125"/>
      <c r="F102" s="125"/>
      <c r="G102" s="125"/>
      <c r="H102" s="125"/>
      <c r="I102" s="125"/>
      <c r="J102" s="125"/>
      <c r="K102" s="125"/>
    </row>
    <row r="103" spans="1:11" ht="14.25" customHeight="1">
      <c r="A103" s="139" t="s">
        <v>260</v>
      </c>
      <c r="B103" s="140">
        <v>0.26</v>
      </c>
      <c r="C103" s="125"/>
      <c r="D103" s="125"/>
      <c r="E103" s="125"/>
      <c r="F103" s="125"/>
      <c r="G103" s="125"/>
      <c r="H103" s="125"/>
      <c r="I103" s="125"/>
      <c r="J103" s="125"/>
      <c r="K103" s="125"/>
    </row>
    <row r="104" spans="1:11" ht="14.25" customHeight="1">
      <c r="A104" s="120"/>
      <c r="B104" s="120"/>
      <c r="C104" s="120"/>
      <c r="D104" s="120"/>
      <c r="E104" s="120"/>
      <c r="F104" s="120"/>
      <c r="G104" s="120"/>
      <c r="H104" s="120"/>
      <c r="I104" s="120"/>
      <c r="J104" s="120"/>
      <c r="K104" s="120"/>
    </row>
    <row r="105" spans="1:11" ht="28.5" customHeight="1">
      <c r="A105" s="376" t="s">
        <v>261</v>
      </c>
      <c r="B105" s="360"/>
      <c r="C105" s="360"/>
      <c r="D105" s="360"/>
      <c r="E105" s="360"/>
      <c r="F105" s="360"/>
      <c r="G105" s="360"/>
      <c r="H105" s="360"/>
      <c r="I105" s="125"/>
      <c r="J105" s="125"/>
      <c r="K105" s="125"/>
    </row>
  </sheetData>
  <mergeCells count="8">
    <mergeCell ref="A84:J84"/>
    <mergeCell ref="A93:H93"/>
    <mergeCell ref="A105:H105"/>
    <mergeCell ref="A2:K2"/>
    <mergeCell ref="A29:O29"/>
    <mergeCell ref="C32:I32"/>
    <mergeCell ref="K32:Q32"/>
    <mergeCell ref="A30:Q30"/>
  </mergeCells>
  <pageMargins left="0.7" right="0.7" top="0.75" bottom="0.75" header="0" footer="0"/>
  <pageSetup paperSize="9" scale="5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100"/>
  <sheetViews>
    <sheetView workbookViewId="0"/>
  </sheetViews>
  <sheetFormatPr defaultColWidth="14.42578125" defaultRowHeight="15" customHeight="1"/>
  <cols>
    <col min="1" max="2" width="8.7109375" customWidth="1"/>
    <col min="3" max="3" width="43.85546875" customWidth="1"/>
    <col min="4" max="4" width="8.7109375" customWidth="1"/>
    <col min="5" max="6" width="14.140625" customWidth="1"/>
    <col min="7" max="7" width="11.42578125" customWidth="1"/>
    <col min="8" max="10" width="8.7109375" customWidth="1"/>
    <col min="11" max="11" width="6.85546875" customWidth="1"/>
    <col min="12" max="12" width="50.5703125" customWidth="1"/>
    <col min="13" max="13" width="29.8554687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spans="2:13" ht="14.25" customHeight="1"/>
    <row r="50" spans="2:13" ht="14.25" customHeight="1"/>
    <row r="51" spans="2:13" ht="14.25" customHeight="1"/>
    <row r="52" spans="2:13" ht="14.25" customHeight="1"/>
    <row r="53" spans="2:13" ht="14.25" customHeight="1"/>
    <row r="54" spans="2:13" ht="14.25" customHeight="1"/>
    <row r="55" spans="2:13" ht="14.25" customHeight="1"/>
    <row r="56" spans="2:13" ht="14.25" customHeight="1"/>
    <row r="57" spans="2:13" ht="14.25" customHeight="1"/>
    <row r="58" spans="2:13" ht="14.25" customHeight="1">
      <c r="B58" s="141" t="s">
        <v>81</v>
      </c>
      <c r="C58" s="141" t="s">
        <v>201</v>
      </c>
      <c r="D58" s="141" t="s">
        <v>115</v>
      </c>
      <c r="E58" s="141" t="s">
        <v>262</v>
      </c>
      <c r="F58" s="141" t="s">
        <v>263</v>
      </c>
      <c r="G58" s="141" t="s">
        <v>264</v>
      </c>
    </row>
    <row r="59" spans="2:13" ht="14.25" customHeight="1">
      <c r="B59" s="64" t="s">
        <v>19</v>
      </c>
      <c r="C59" s="64" t="s">
        <v>265</v>
      </c>
      <c r="D59" s="64"/>
      <c r="E59" s="64"/>
      <c r="F59" s="64"/>
      <c r="G59" s="64"/>
      <c r="K59" s="142" t="s">
        <v>81</v>
      </c>
      <c r="L59" s="143" t="s">
        <v>201</v>
      </c>
      <c r="M59" s="143" t="s">
        <v>266</v>
      </c>
    </row>
    <row r="60" spans="2:13" ht="14.25" customHeight="1">
      <c r="B60" s="64">
        <v>1</v>
      </c>
      <c r="C60" s="64"/>
      <c r="D60" s="64">
        <v>1</v>
      </c>
      <c r="E60" s="144"/>
      <c r="F60" s="144"/>
      <c r="G60" s="145">
        <f>F61/$F$76</f>
        <v>0</v>
      </c>
      <c r="K60" s="146" t="s">
        <v>19</v>
      </c>
      <c r="L60" s="147" t="s">
        <v>265</v>
      </c>
      <c r="M60" s="148"/>
    </row>
    <row r="61" spans="2:13" ht="14.25" customHeight="1">
      <c r="B61" s="380" t="s">
        <v>157</v>
      </c>
      <c r="C61" s="347"/>
      <c r="D61" s="347"/>
      <c r="E61" s="348"/>
      <c r="F61" s="144">
        <f>SUM(F60)</f>
        <v>0</v>
      </c>
      <c r="G61" s="145"/>
      <c r="K61" s="149"/>
      <c r="L61" s="148"/>
      <c r="M61" s="150"/>
    </row>
    <row r="62" spans="2:13" ht="14.25" customHeight="1">
      <c r="B62" s="64" t="s">
        <v>267</v>
      </c>
      <c r="C62" s="64" t="s">
        <v>268</v>
      </c>
      <c r="D62" s="64"/>
      <c r="E62" s="64"/>
      <c r="F62" s="64"/>
      <c r="G62" s="151"/>
      <c r="K62" s="149"/>
      <c r="L62" s="148"/>
      <c r="M62" s="150"/>
    </row>
    <row r="63" spans="2:13" ht="14.25" customHeight="1">
      <c r="B63" s="64">
        <v>1</v>
      </c>
      <c r="C63" s="64" t="str">
        <f>'2.Capex Details'!C6</f>
        <v>Construction of Cleaning &amp; Grading Unit</v>
      </c>
      <c r="D63" s="64">
        <v>1</v>
      </c>
      <c r="E63" s="144">
        <f>'2.Capex Details'!G6</f>
        <v>1500000</v>
      </c>
      <c r="F63" s="144">
        <f t="shared" ref="F63:F69" si="0">D63*E63</f>
        <v>1500000</v>
      </c>
      <c r="G63" s="382">
        <f>F70/$F$76</f>
        <v>0.98973405576452844</v>
      </c>
      <c r="K63" s="149"/>
      <c r="L63" s="148"/>
      <c r="M63" s="150"/>
    </row>
    <row r="64" spans="2:13" ht="14.25" customHeight="1">
      <c r="B64" s="64">
        <v>2</v>
      </c>
      <c r="C64" s="64" t="str">
        <f>'2.Capex Details'!C7</f>
        <v xml:space="preserve">Construction of Flour Mill </v>
      </c>
      <c r="D64" s="64">
        <v>1</v>
      </c>
      <c r="E64" s="144">
        <f>'2.Capex Details'!G7</f>
        <v>894500</v>
      </c>
      <c r="F64" s="144">
        <f t="shared" si="0"/>
        <v>894500</v>
      </c>
      <c r="G64" s="350"/>
      <c r="K64" s="149"/>
      <c r="L64" s="148"/>
      <c r="M64" s="150"/>
    </row>
    <row r="65" spans="2:13" ht="14.25" customHeight="1">
      <c r="B65" s="64">
        <v>3</v>
      </c>
      <c r="C65" s="64" t="str">
        <f>'2.Capex Details'!C8</f>
        <v>Construction of Warehouse</v>
      </c>
      <c r="D65" s="64">
        <v>1</v>
      </c>
      <c r="E65" s="144">
        <f>'2.Capex Details'!G8</f>
        <v>11521000</v>
      </c>
      <c r="F65" s="144">
        <f t="shared" si="0"/>
        <v>11521000</v>
      </c>
      <c r="G65" s="350"/>
      <c r="K65" s="149"/>
      <c r="L65" s="148"/>
      <c r="M65" s="150"/>
    </row>
    <row r="66" spans="2:13" ht="14.25" customHeight="1">
      <c r="B66" s="64">
        <v>4</v>
      </c>
      <c r="C66" s="64" t="str">
        <f>'2.Capex Details'!C20</f>
        <v xml:space="preserve">Cleaning &amp; Grading </v>
      </c>
      <c r="D66" s="64">
        <v>1</v>
      </c>
      <c r="E66" s="144">
        <f>'2.Capex Details'!G46</f>
        <v>5246488.1400000006</v>
      </c>
      <c r="F66" s="144">
        <f t="shared" si="0"/>
        <v>5246488.1400000006</v>
      </c>
      <c r="G66" s="350"/>
      <c r="K66" s="149"/>
      <c r="L66" s="148"/>
      <c r="M66" s="150"/>
    </row>
    <row r="67" spans="2:13" ht="14.25" customHeight="1">
      <c r="B67" s="64">
        <v>5</v>
      </c>
      <c r="C67" s="64" t="str">
        <f>'2.Capex Details'!C48</f>
        <v>Flour Mill</v>
      </c>
      <c r="D67" s="64">
        <v>1</v>
      </c>
      <c r="E67" s="144">
        <f>'2.Capex Details'!G70</f>
        <v>1386500</v>
      </c>
      <c r="F67" s="144">
        <f t="shared" si="0"/>
        <v>1386500</v>
      </c>
      <c r="G67" s="350"/>
      <c r="K67" s="149"/>
      <c r="L67" s="148"/>
      <c r="M67" s="150"/>
    </row>
    <row r="68" spans="2:13" ht="14.25" customHeight="1">
      <c r="B68" s="64">
        <v>6</v>
      </c>
      <c r="C68" s="64" t="str">
        <f>'2.Capex Details'!C72</f>
        <v>Electricity Connection</v>
      </c>
      <c r="D68" s="64">
        <v>1</v>
      </c>
      <c r="E68" s="144">
        <f>'2.Capex Details'!G75</f>
        <v>364111.1</v>
      </c>
      <c r="F68" s="144">
        <f t="shared" si="0"/>
        <v>364111.1</v>
      </c>
      <c r="G68" s="350"/>
      <c r="K68" s="149"/>
      <c r="L68" s="148"/>
      <c r="M68" s="150"/>
    </row>
    <row r="69" spans="2:13" ht="14.25" customHeight="1">
      <c r="B69" s="64"/>
      <c r="C69" s="64" t="str">
        <f>'2.Capex Details'!C77</f>
        <v>Solar</v>
      </c>
      <c r="D69" s="64">
        <v>1</v>
      </c>
      <c r="E69" s="144">
        <f>'2.Capex Details'!G80</f>
        <v>5600000</v>
      </c>
      <c r="F69" s="144">
        <f t="shared" si="0"/>
        <v>5600000</v>
      </c>
      <c r="G69" s="152"/>
      <c r="K69" s="149"/>
      <c r="L69" s="148"/>
      <c r="M69" s="150"/>
    </row>
    <row r="70" spans="2:13" ht="14.25" customHeight="1">
      <c r="B70" s="380" t="s">
        <v>157</v>
      </c>
      <c r="C70" s="347"/>
      <c r="D70" s="347"/>
      <c r="E70" s="348"/>
      <c r="F70" s="144">
        <f>SUM(F63:F69)</f>
        <v>26512599.240000002</v>
      </c>
      <c r="G70" s="152"/>
      <c r="K70" s="149"/>
      <c r="L70" s="148"/>
      <c r="M70" s="150"/>
    </row>
    <row r="71" spans="2:13" ht="14.25" customHeight="1">
      <c r="B71" s="64" t="s">
        <v>179</v>
      </c>
      <c r="C71" s="64" t="s">
        <v>269</v>
      </c>
      <c r="D71" s="64"/>
      <c r="E71" s="64"/>
      <c r="F71" s="64"/>
      <c r="G71" s="153"/>
      <c r="K71" s="149"/>
      <c r="L71" s="148"/>
      <c r="M71" s="150"/>
    </row>
    <row r="72" spans="2:13" ht="14.25" customHeight="1">
      <c r="B72" s="64">
        <v>1</v>
      </c>
      <c r="C72" s="64" t="s">
        <v>270</v>
      </c>
      <c r="D72" s="64">
        <v>1</v>
      </c>
      <c r="E72" s="144">
        <f>'2.Capex Details'!F109</f>
        <v>0</v>
      </c>
      <c r="F72" s="144">
        <f t="shared" ref="F72:F74" si="1">D72*E72</f>
        <v>0</v>
      </c>
      <c r="G72" s="381">
        <f>F75/$F$76</f>
        <v>1.0265944235471546E-2</v>
      </c>
      <c r="K72" s="149"/>
      <c r="L72" s="148"/>
      <c r="M72" s="150"/>
    </row>
    <row r="73" spans="2:13" ht="14.25" customHeight="1">
      <c r="B73" s="64">
        <v>2</v>
      </c>
      <c r="C73" s="64" t="s">
        <v>271</v>
      </c>
      <c r="D73" s="64">
        <v>1</v>
      </c>
      <c r="E73" s="144">
        <f>'2.Capex Details'!F143</f>
        <v>140000</v>
      </c>
      <c r="F73" s="144">
        <f t="shared" si="1"/>
        <v>140000</v>
      </c>
      <c r="G73" s="350"/>
      <c r="K73" s="149"/>
      <c r="L73" s="148"/>
      <c r="M73" s="150"/>
    </row>
    <row r="74" spans="2:13" ht="14.25" customHeight="1">
      <c r="B74" s="64">
        <v>3</v>
      </c>
      <c r="C74" s="64" t="s">
        <v>272</v>
      </c>
      <c r="D74" s="64">
        <v>1</v>
      </c>
      <c r="E74" s="144">
        <f>'2.Capex Details'!D182</f>
        <v>135000</v>
      </c>
      <c r="F74" s="144">
        <f t="shared" si="1"/>
        <v>135000</v>
      </c>
      <c r="G74" s="350"/>
      <c r="K74" s="149">
        <v>11</v>
      </c>
      <c r="L74" s="148" t="s">
        <v>273</v>
      </c>
      <c r="M74" s="150" t="s">
        <v>274</v>
      </c>
    </row>
    <row r="75" spans="2:13" ht="14.25" customHeight="1">
      <c r="B75" s="380" t="s">
        <v>157</v>
      </c>
      <c r="C75" s="347"/>
      <c r="D75" s="347"/>
      <c r="E75" s="348"/>
      <c r="F75" s="144">
        <f>SUM(F72:F74)</f>
        <v>275000</v>
      </c>
      <c r="G75" s="351"/>
      <c r="K75" s="146" t="s">
        <v>267</v>
      </c>
      <c r="L75" s="147" t="s">
        <v>275</v>
      </c>
      <c r="M75" s="154"/>
    </row>
    <row r="76" spans="2:13" ht="14.25" customHeight="1">
      <c r="B76" s="380" t="s">
        <v>276</v>
      </c>
      <c r="C76" s="348"/>
      <c r="D76" s="64"/>
      <c r="E76" s="64"/>
      <c r="F76" s="144">
        <f>F75+F70+F61</f>
        <v>26787599.240000002</v>
      </c>
      <c r="G76" s="155">
        <v>1</v>
      </c>
      <c r="K76" s="149">
        <v>1</v>
      </c>
      <c r="L76" s="148" t="str">
        <f t="shared" ref="L76:L78" si="2">C63</f>
        <v>Construction of Cleaning &amp; Grading Unit</v>
      </c>
      <c r="M76" s="150" t="s">
        <v>277</v>
      </c>
    </row>
    <row r="77" spans="2:13" ht="14.25" customHeight="1">
      <c r="B77" t="s">
        <v>278</v>
      </c>
      <c r="F77" s="156">
        <f>'1.Project Cost and MOF'!E22</f>
        <v>27504655.640284203</v>
      </c>
      <c r="K77" s="149">
        <v>2</v>
      </c>
      <c r="L77" s="148" t="str">
        <f t="shared" si="2"/>
        <v xml:space="preserve">Construction of Flour Mill </v>
      </c>
      <c r="M77" s="157" t="s">
        <v>279</v>
      </c>
    </row>
    <row r="78" spans="2:13" ht="14.25" customHeight="1">
      <c r="F78" s="27">
        <f>F77-F76</f>
        <v>717056.40028420091</v>
      </c>
      <c r="K78" s="149">
        <v>3</v>
      </c>
      <c r="L78" s="148" t="str">
        <f t="shared" si="2"/>
        <v>Construction of Warehouse</v>
      </c>
      <c r="M78" s="157" t="s">
        <v>279</v>
      </c>
    </row>
    <row r="79" spans="2:13" ht="14.25" customHeight="1">
      <c r="K79" s="149">
        <v>4</v>
      </c>
      <c r="L79" s="148" t="s">
        <v>180</v>
      </c>
      <c r="M79" s="157" t="s">
        <v>279</v>
      </c>
    </row>
    <row r="80" spans="2:13" ht="14.25" customHeight="1">
      <c r="K80" s="146" t="s">
        <v>179</v>
      </c>
      <c r="L80" s="147" t="s">
        <v>269</v>
      </c>
      <c r="M80" s="154"/>
    </row>
    <row r="81" spans="11:13" ht="14.25" customHeight="1">
      <c r="K81" s="149">
        <v>1</v>
      </c>
      <c r="L81" s="148" t="s">
        <v>270</v>
      </c>
      <c r="M81" s="150" t="s">
        <v>277</v>
      </c>
    </row>
    <row r="82" spans="11:13" ht="14.25" customHeight="1">
      <c r="K82" s="149">
        <v>2</v>
      </c>
      <c r="L82" s="148" t="s">
        <v>280</v>
      </c>
      <c r="M82" s="150" t="s">
        <v>277</v>
      </c>
    </row>
    <row r="83" spans="11:13" ht="14.25" customHeight="1">
      <c r="K83" s="149">
        <v>3</v>
      </c>
      <c r="L83" s="148" t="s">
        <v>272</v>
      </c>
      <c r="M83" s="150" t="s">
        <v>277</v>
      </c>
    </row>
    <row r="84" spans="11:13" ht="14.25" customHeight="1"/>
    <row r="85" spans="11:13" ht="14.25" customHeight="1"/>
    <row r="86" spans="11:13" ht="14.25" customHeight="1"/>
    <row r="87" spans="11:13" ht="14.25" customHeight="1"/>
    <row r="88" spans="11:13" ht="14.25" customHeight="1"/>
    <row r="89" spans="11:13" ht="14.25" customHeight="1"/>
    <row r="90" spans="11:13" ht="14.25" customHeight="1"/>
    <row r="91" spans="11:13" ht="14.25" customHeight="1"/>
    <row r="92" spans="11:13" ht="14.25" customHeight="1"/>
    <row r="93" spans="11:13" ht="14.25" customHeight="1"/>
    <row r="94" spans="11:13" ht="14.25" customHeight="1"/>
    <row r="95" spans="11:13" ht="14.25" customHeight="1"/>
    <row r="96" spans="11:13" ht="14.25" customHeight="1"/>
    <row r="97" ht="14.25" customHeight="1"/>
    <row r="98" ht="14.25" customHeight="1"/>
    <row r="99" ht="14.25" customHeight="1"/>
    <row r="100" ht="14.25" customHeight="1"/>
  </sheetData>
  <mergeCells count="6">
    <mergeCell ref="B61:E61"/>
    <mergeCell ref="B70:E70"/>
    <mergeCell ref="B75:E75"/>
    <mergeCell ref="B76:C76"/>
    <mergeCell ref="G72:G75"/>
    <mergeCell ref="G63:G68"/>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
  <sheetViews>
    <sheetView topLeftCell="A4" workbookViewId="0">
      <selection activeCell="E17" sqref="E17"/>
    </sheetView>
  </sheetViews>
  <sheetFormatPr defaultColWidth="14.42578125" defaultRowHeight="15" customHeight="1"/>
  <cols>
    <col min="1" max="1" width="8.7109375" customWidth="1"/>
    <col min="2" max="2" width="15.42578125" customWidth="1"/>
    <col min="3" max="3" width="28.140625" customWidth="1"/>
    <col min="4" max="4" width="14.7109375" customWidth="1"/>
    <col min="5" max="5" width="25.85546875" customWidth="1"/>
    <col min="6" max="6" width="12.140625" customWidth="1"/>
    <col min="7" max="7" width="27.28515625" customWidth="1"/>
    <col min="8" max="8" width="12.28515625" customWidth="1"/>
    <col min="9" max="9" width="11.7109375" customWidth="1"/>
    <col min="10" max="11" width="8.7109375" customWidth="1"/>
  </cols>
  <sheetData>
    <row r="1" spans="1:7" ht="14.25" customHeight="1"/>
    <row r="2" spans="1:7" ht="14.25" customHeight="1">
      <c r="A2" s="359" t="s">
        <v>281</v>
      </c>
      <c r="B2" s="360"/>
      <c r="C2" s="360"/>
      <c r="D2" s="360"/>
      <c r="E2" s="360"/>
      <c r="F2" s="360"/>
      <c r="G2" s="383"/>
    </row>
    <row r="3" spans="1:7" ht="14.25" customHeight="1">
      <c r="B3" s="54"/>
      <c r="C3" s="54"/>
      <c r="D3" s="54"/>
      <c r="E3" s="54"/>
      <c r="F3" s="54"/>
      <c r="G3" s="54"/>
    </row>
    <row r="4" spans="1:7" ht="14.25" customHeight="1">
      <c r="A4" s="92"/>
      <c r="B4" s="92"/>
      <c r="C4" s="92" t="s">
        <v>282</v>
      </c>
      <c r="D4" s="158">
        <f>'1.Project Cost and MOF'!E20</f>
        <v>8036279.7720000008</v>
      </c>
      <c r="E4" s="92"/>
      <c r="F4" s="92"/>
      <c r="G4" s="92"/>
    </row>
    <row r="5" spans="1:7" ht="14.25" customHeight="1">
      <c r="A5" s="92"/>
      <c r="B5" s="92"/>
      <c r="C5" s="92" t="s">
        <v>283</v>
      </c>
      <c r="D5" s="159">
        <v>0.12</v>
      </c>
      <c r="E5" s="92"/>
      <c r="F5" s="92"/>
      <c r="G5" s="92"/>
    </row>
    <row r="6" spans="1:7" ht="14.25" customHeight="1">
      <c r="A6" s="92"/>
      <c r="B6" s="92"/>
      <c r="C6" s="92" t="s">
        <v>284</v>
      </c>
      <c r="D6" s="160">
        <v>5</v>
      </c>
      <c r="E6" s="92"/>
      <c r="F6" s="92"/>
      <c r="G6" s="92"/>
    </row>
    <row r="7" spans="1:7" ht="14.25" customHeight="1">
      <c r="A7" s="92"/>
      <c r="B7" s="92"/>
      <c r="C7" s="92" t="s">
        <v>285</v>
      </c>
      <c r="D7" s="160">
        <v>6</v>
      </c>
      <c r="E7" s="92"/>
      <c r="F7" s="92"/>
      <c r="G7" s="92"/>
    </row>
    <row r="8" spans="1:7" ht="14.25" customHeight="1">
      <c r="A8" s="92"/>
      <c r="B8" s="92"/>
      <c r="C8" s="92" t="s">
        <v>286</v>
      </c>
      <c r="D8" s="161">
        <f>PMT(D5/12,(D6-(D7/12))*12,-D4)</f>
        <v>193325.42794010785</v>
      </c>
      <c r="E8" s="161"/>
      <c r="F8" s="162"/>
      <c r="G8" s="92"/>
    </row>
    <row r="9" spans="1:7" ht="14.25" customHeight="1">
      <c r="A9" s="95" t="s">
        <v>287</v>
      </c>
      <c r="B9" s="163" t="s">
        <v>288</v>
      </c>
      <c r="C9" s="164" t="s">
        <v>289</v>
      </c>
      <c r="D9" s="164" t="s">
        <v>290</v>
      </c>
      <c r="E9" s="164" t="s">
        <v>291</v>
      </c>
      <c r="F9" s="164" t="s">
        <v>286</v>
      </c>
      <c r="G9" s="164" t="s">
        <v>292</v>
      </c>
    </row>
    <row r="10" spans="1:7" ht="14.25" customHeight="1">
      <c r="A10" s="56" t="s">
        <v>293</v>
      </c>
      <c r="B10" s="56" t="s">
        <v>294</v>
      </c>
      <c r="C10" s="97">
        <f>D4</f>
        <v>8036279.7720000008</v>
      </c>
      <c r="D10" s="97">
        <f t="shared" ref="D10:D69" si="0">C10*$D$5/12</f>
        <v>80362.797720000002</v>
      </c>
      <c r="E10" s="97">
        <f t="shared" ref="E10:E69" si="1">F10-D10</f>
        <v>0</v>
      </c>
      <c r="F10" s="97">
        <f t="shared" ref="F10:F15" si="2">D10</f>
        <v>80362.797720000002</v>
      </c>
      <c r="G10" s="97">
        <f t="shared" ref="G10:G69" si="3">C10-E10</f>
        <v>8036279.7720000008</v>
      </c>
    </row>
    <row r="11" spans="1:7" ht="14.25" customHeight="1">
      <c r="A11" s="56"/>
      <c r="B11" s="56" t="s">
        <v>295</v>
      </c>
      <c r="C11" s="97">
        <f t="shared" ref="C11:C69" si="4">G10</f>
        <v>8036279.7720000008</v>
      </c>
      <c r="D11" s="97">
        <f t="shared" si="0"/>
        <v>80362.797720000002</v>
      </c>
      <c r="E11" s="97">
        <f t="shared" si="1"/>
        <v>0</v>
      </c>
      <c r="F11" s="97">
        <f t="shared" si="2"/>
        <v>80362.797720000002</v>
      </c>
      <c r="G11" s="97">
        <f t="shared" si="3"/>
        <v>8036279.7720000008</v>
      </c>
    </row>
    <row r="12" spans="1:7" ht="14.25" customHeight="1">
      <c r="A12" s="56"/>
      <c r="B12" s="56" t="s">
        <v>296</v>
      </c>
      <c r="C12" s="97">
        <f t="shared" si="4"/>
        <v>8036279.7720000008</v>
      </c>
      <c r="D12" s="97">
        <f t="shared" si="0"/>
        <v>80362.797720000002</v>
      </c>
      <c r="E12" s="97">
        <f t="shared" si="1"/>
        <v>0</v>
      </c>
      <c r="F12" s="97">
        <f t="shared" si="2"/>
        <v>80362.797720000002</v>
      </c>
      <c r="G12" s="97">
        <f t="shared" si="3"/>
        <v>8036279.7720000008</v>
      </c>
    </row>
    <row r="13" spans="1:7" ht="14.25" customHeight="1">
      <c r="A13" s="56"/>
      <c r="B13" s="56" t="s">
        <v>297</v>
      </c>
      <c r="C13" s="97">
        <f t="shared" si="4"/>
        <v>8036279.7720000008</v>
      </c>
      <c r="D13" s="97">
        <f t="shared" si="0"/>
        <v>80362.797720000002</v>
      </c>
      <c r="E13" s="97">
        <f t="shared" si="1"/>
        <v>0</v>
      </c>
      <c r="F13" s="97">
        <f t="shared" si="2"/>
        <v>80362.797720000002</v>
      </c>
      <c r="G13" s="97">
        <f t="shared" si="3"/>
        <v>8036279.7720000008</v>
      </c>
    </row>
    <row r="14" spans="1:7" ht="14.25" customHeight="1">
      <c r="A14" s="56"/>
      <c r="B14" s="56" t="s">
        <v>298</v>
      </c>
      <c r="C14" s="97">
        <f t="shared" si="4"/>
        <v>8036279.7720000008</v>
      </c>
      <c r="D14" s="97">
        <f t="shared" si="0"/>
        <v>80362.797720000002</v>
      </c>
      <c r="E14" s="97">
        <f t="shared" si="1"/>
        <v>0</v>
      </c>
      <c r="F14" s="97">
        <f t="shared" si="2"/>
        <v>80362.797720000002</v>
      </c>
      <c r="G14" s="97">
        <f t="shared" si="3"/>
        <v>8036279.7720000008</v>
      </c>
    </row>
    <row r="15" spans="1:7" ht="14.25" customHeight="1">
      <c r="A15" s="56"/>
      <c r="B15" s="56" t="s">
        <v>299</v>
      </c>
      <c r="C15" s="97">
        <f t="shared" si="4"/>
        <v>8036279.7720000008</v>
      </c>
      <c r="D15" s="97">
        <f t="shared" si="0"/>
        <v>80362.797720000002</v>
      </c>
      <c r="E15" s="97">
        <f t="shared" si="1"/>
        <v>0</v>
      </c>
      <c r="F15" s="97">
        <f t="shared" si="2"/>
        <v>80362.797720000002</v>
      </c>
      <c r="G15" s="97">
        <f t="shared" si="3"/>
        <v>8036279.7720000008</v>
      </c>
    </row>
    <row r="16" spans="1:7" ht="14.25" customHeight="1">
      <c r="A16" s="56"/>
      <c r="B16" s="56" t="s">
        <v>300</v>
      </c>
      <c r="C16" s="97">
        <f t="shared" si="4"/>
        <v>8036279.7720000008</v>
      </c>
      <c r="D16" s="97">
        <f t="shared" si="0"/>
        <v>80362.797720000002</v>
      </c>
      <c r="E16" s="97">
        <f>F16-D16</f>
        <v>112962.63022010785</v>
      </c>
      <c r="F16" s="97">
        <f t="shared" ref="F16:F69" si="5">$D$8</f>
        <v>193325.42794010785</v>
      </c>
      <c r="G16" s="97">
        <f t="shared" si="3"/>
        <v>7923317.1417798931</v>
      </c>
    </row>
    <row r="17" spans="1:9" ht="14.25" customHeight="1">
      <c r="A17" s="56"/>
      <c r="B17" s="56" t="s">
        <v>301</v>
      </c>
      <c r="C17" s="97">
        <f t="shared" si="4"/>
        <v>7923317.1417798931</v>
      </c>
      <c r="D17" s="97">
        <f t="shared" si="0"/>
        <v>79233.17141779892</v>
      </c>
      <c r="E17" s="97">
        <f t="shared" si="1"/>
        <v>114092.25652230893</v>
      </c>
      <c r="F17" s="97">
        <f t="shared" si="5"/>
        <v>193325.42794010785</v>
      </c>
      <c r="G17" s="97">
        <f t="shared" si="3"/>
        <v>7809224.885257584</v>
      </c>
    </row>
    <row r="18" spans="1:9" ht="14.25" customHeight="1">
      <c r="A18" s="56"/>
      <c r="B18" s="56" t="s">
        <v>302</v>
      </c>
      <c r="C18" s="97">
        <f t="shared" si="4"/>
        <v>7809224.885257584</v>
      </c>
      <c r="D18" s="97">
        <f t="shared" si="0"/>
        <v>78092.248852575838</v>
      </c>
      <c r="E18" s="97">
        <f t="shared" si="1"/>
        <v>115233.17908753201</v>
      </c>
      <c r="F18" s="97">
        <f t="shared" si="5"/>
        <v>193325.42794010785</v>
      </c>
      <c r="G18" s="97">
        <f t="shared" si="3"/>
        <v>7693991.7061700523</v>
      </c>
    </row>
    <row r="19" spans="1:9" ht="14.25" customHeight="1">
      <c r="A19" s="56"/>
      <c r="B19" s="56" t="s">
        <v>303</v>
      </c>
      <c r="C19" s="97">
        <f t="shared" si="4"/>
        <v>7693991.7061700523</v>
      </c>
      <c r="D19" s="97">
        <f t="shared" si="0"/>
        <v>76939.917061700529</v>
      </c>
      <c r="E19" s="97">
        <f t="shared" si="1"/>
        <v>116385.51087840732</v>
      </c>
      <c r="F19" s="97">
        <f t="shared" si="5"/>
        <v>193325.42794010785</v>
      </c>
      <c r="G19" s="97">
        <f t="shared" si="3"/>
        <v>7577606.1952916449</v>
      </c>
    </row>
    <row r="20" spans="1:9" ht="14.25" customHeight="1">
      <c r="A20" s="56"/>
      <c r="B20" s="56" t="s">
        <v>304</v>
      </c>
      <c r="C20" s="97">
        <f t="shared" si="4"/>
        <v>7577606.1952916449</v>
      </c>
      <c r="D20" s="97">
        <f t="shared" si="0"/>
        <v>75776.061952916454</v>
      </c>
      <c r="E20" s="97">
        <f t="shared" si="1"/>
        <v>117549.3659871914</v>
      </c>
      <c r="F20" s="97">
        <f t="shared" si="5"/>
        <v>193325.42794010785</v>
      </c>
      <c r="G20" s="97">
        <f t="shared" si="3"/>
        <v>7460056.8293044539</v>
      </c>
    </row>
    <row r="21" spans="1:9" ht="14.25" customHeight="1">
      <c r="A21" s="56"/>
      <c r="B21" s="56" t="s">
        <v>305</v>
      </c>
      <c r="C21" s="97">
        <f t="shared" si="4"/>
        <v>7460056.8293044539</v>
      </c>
      <c r="D21" s="97">
        <f t="shared" si="0"/>
        <v>74600.568293044533</v>
      </c>
      <c r="E21" s="97">
        <f t="shared" si="1"/>
        <v>118724.85964706332</v>
      </c>
      <c r="F21" s="97">
        <f t="shared" si="5"/>
        <v>193325.42794010785</v>
      </c>
      <c r="G21" s="97">
        <f t="shared" si="3"/>
        <v>7341331.9696573904</v>
      </c>
      <c r="H21" s="165"/>
      <c r="I21" s="165"/>
    </row>
    <row r="22" spans="1:9" ht="14.25" customHeight="1">
      <c r="A22" s="56" t="s">
        <v>306</v>
      </c>
      <c r="B22" s="56" t="s">
        <v>307</v>
      </c>
      <c r="C22" s="97">
        <f t="shared" si="4"/>
        <v>7341331.9696573904</v>
      </c>
      <c r="D22" s="97">
        <f t="shared" si="0"/>
        <v>73413.319696573904</v>
      </c>
      <c r="E22" s="97">
        <f t="shared" si="1"/>
        <v>119912.10824353395</v>
      </c>
      <c r="F22" s="97">
        <f t="shared" si="5"/>
        <v>193325.42794010785</v>
      </c>
      <c r="G22" s="97">
        <f t="shared" si="3"/>
        <v>7221419.861413856</v>
      </c>
    </row>
    <row r="23" spans="1:9" ht="14.25" customHeight="1">
      <c r="A23" s="56"/>
      <c r="B23" s="56" t="s">
        <v>308</v>
      </c>
      <c r="C23" s="97">
        <f t="shared" si="4"/>
        <v>7221419.861413856</v>
      </c>
      <c r="D23" s="97">
        <f t="shared" si="0"/>
        <v>72214.198614138557</v>
      </c>
      <c r="E23" s="97">
        <f t="shared" si="1"/>
        <v>121111.2293259693</v>
      </c>
      <c r="F23" s="97">
        <f t="shared" si="5"/>
        <v>193325.42794010785</v>
      </c>
      <c r="G23" s="97">
        <f t="shared" si="3"/>
        <v>7100308.6320878863</v>
      </c>
    </row>
    <row r="24" spans="1:9" ht="14.25" customHeight="1">
      <c r="A24" s="56"/>
      <c r="B24" s="56" t="s">
        <v>309</v>
      </c>
      <c r="C24" s="97">
        <f t="shared" si="4"/>
        <v>7100308.6320878863</v>
      </c>
      <c r="D24" s="97">
        <f t="shared" si="0"/>
        <v>71003.086320878865</v>
      </c>
      <c r="E24" s="97">
        <f t="shared" si="1"/>
        <v>122322.34161922899</v>
      </c>
      <c r="F24" s="97">
        <f t="shared" si="5"/>
        <v>193325.42794010785</v>
      </c>
      <c r="G24" s="97">
        <f t="shared" si="3"/>
        <v>6977986.2904686574</v>
      </c>
    </row>
    <row r="25" spans="1:9" ht="14.25" customHeight="1">
      <c r="A25" s="56"/>
      <c r="B25" s="56" t="s">
        <v>310</v>
      </c>
      <c r="C25" s="97">
        <f t="shared" si="4"/>
        <v>6977986.2904686574</v>
      </c>
      <c r="D25" s="97">
        <f t="shared" si="0"/>
        <v>69779.862904686568</v>
      </c>
      <c r="E25" s="97">
        <f t="shared" si="1"/>
        <v>123545.56503542128</v>
      </c>
      <c r="F25" s="97">
        <f t="shared" si="5"/>
        <v>193325.42794010785</v>
      </c>
      <c r="G25" s="97">
        <f t="shared" si="3"/>
        <v>6854440.725433236</v>
      </c>
    </row>
    <row r="26" spans="1:9" ht="14.25" customHeight="1">
      <c r="A26" s="56"/>
      <c r="B26" s="56" t="s">
        <v>311</v>
      </c>
      <c r="C26" s="97">
        <f t="shared" si="4"/>
        <v>6854440.725433236</v>
      </c>
      <c r="D26" s="97">
        <f t="shared" si="0"/>
        <v>68544.407254332356</v>
      </c>
      <c r="E26" s="97">
        <f t="shared" si="1"/>
        <v>124781.0206857755</v>
      </c>
      <c r="F26" s="97">
        <f t="shared" si="5"/>
        <v>193325.42794010785</v>
      </c>
      <c r="G26" s="97">
        <f t="shared" si="3"/>
        <v>6729659.7047474608</v>
      </c>
    </row>
    <row r="27" spans="1:9" ht="14.25" customHeight="1">
      <c r="A27" s="56"/>
      <c r="B27" s="56" t="s">
        <v>312</v>
      </c>
      <c r="C27" s="97">
        <f t="shared" si="4"/>
        <v>6729659.7047474608</v>
      </c>
      <c r="D27" s="97">
        <f t="shared" si="0"/>
        <v>67296.597047474599</v>
      </c>
      <c r="E27" s="97">
        <f t="shared" si="1"/>
        <v>126028.83089263325</v>
      </c>
      <c r="F27" s="97">
        <f t="shared" si="5"/>
        <v>193325.42794010785</v>
      </c>
      <c r="G27" s="97">
        <f t="shared" si="3"/>
        <v>6603630.8738548271</v>
      </c>
    </row>
    <row r="28" spans="1:9" ht="14.25" customHeight="1">
      <c r="A28" s="56"/>
      <c r="B28" s="56" t="s">
        <v>313</v>
      </c>
      <c r="C28" s="97">
        <f t="shared" si="4"/>
        <v>6603630.8738548271</v>
      </c>
      <c r="D28" s="97">
        <f t="shared" si="0"/>
        <v>66036.308738548265</v>
      </c>
      <c r="E28" s="97">
        <f t="shared" si="1"/>
        <v>127289.11920155959</v>
      </c>
      <c r="F28" s="97">
        <f t="shared" si="5"/>
        <v>193325.42794010785</v>
      </c>
      <c r="G28" s="97">
        <f t="shared" si="3"/>
        <v>6476341.7546532676</v>
      </c>
    </row>
    <row r="29" spans="1:9" ht="14.25" customHeight="1">
      <c r="A29" s="56"/>
      <c r="B29" s="56" t="s">
        <v>314</v>
      </c>
      <c r="C29" s="97">
        <f t="shared" si="4"/>
        <v>6476341.7546532676</v>
      </c>
      <c r="D29" s="97">
        <f t="shared" si="0"/>
        <v>64763.41754653267</v>
      </c>
      <c r="E29" s="97">
        <f t="shared" si="1"/>
        <v>128562.01039357518</v>
      </c>
      <c r="F29" s="97">
        <f t="shared" si="5"/>
        <v>193325.42794010785</v>
      </c>
      <c r="G29" s="97">
        <f t="shared" si="3"/>
        <v>6347779.7442596927</v>
      </c>
    </row>
    <row r="30" spans="1:9" ht="14.25" customHeight="1">
      <c r="A30" s="56"/>
      <c r="B30" s="56" t="s">
        <v>315</v>
      </c>
      <c r="C30" s="97">
        <f t="shared" si="4"/>
        <v>6347779.7442596927</v>
      </c>
      <c r="D30" s="97">
        <f t="shared" si="0"/>
        <v>63477.79744259693</v>
      </c>
      <c r="E30" s="97">
        <f t="shared" si="1"/>
        <v>129847.63049751092</v>
      </c>
      <c r="F30" s="97">
        <f t="shared" si="5"/>
        <v>193325.42794010785</v>
      </c>
      <c r="G30" s="97">
        <f t="shared" si="3"/>
        <v>6217932.1137621822</v>
      </c>
    </row>
    <row r="31" spans="1:9" ht="14.25" customHeight="1">
      <c r="A31" s="56"/>
      <c r="B31" s="56" t="s">
        <v>316</v>
      </c>
      <c r="C31" s="97">
        <f t="shared" si="4"/>
        <v>6217932.1137621822</v>
      </c>
      <c r="D31" s="97">
        <f t="shared" si="0"/>
        <v>62179.321137621824</v>
      </c>
      <c r="E31" s="97">
        <f t="shared" si="1"/>
        <v>131146.10680248603</v>
      </c>
      <c r="F31" s="97">
        <f t="shared" si="5"/>
        <v>193325.42794010785</v>
      </c>
      <c r="G31" s="97">
        <f t="shared" si="3"/>
        <v>6086786.0069596963</v>
      </c>
    </row>
    <row r="32" spans="1:9" ht="14.25" customHeight="1">
      <c r="A32" s="56"/>
      <c r="B32" s="56" t="s">
        <v>317</v>
      </c>
      <c r="C32" s="97">
        <f t="shared" si="4"/>
        <v>6086786.0069596963</v>
      </c>
      <c r="D32" s="97">
        <f t="shared" si="0"/>
        <v>60867.860069596965</v>
      </c>
      <c r="E32" s="97">
        <f t="shared" si="1"/>
        <v>132457.56787051089</v>
      </c>
      <c r="F32" s="97">
        <f t="shared" si="5"/>
        <v>193325.42794010785</v>
      </c>
      <c r="G32" s="97">
        <f t="shared" si="3"/>
        <v>5954328.4390891856</v>
      </c>
    </row>
    <row r="33" spans="1:9" ht="14.25" customHeight="1">
      <c r="A33" s="56"/>
      <c r="B33" s="56" t="s">
        <v>318</v>
      </c>
      <c r="C33" s="97">
        <f t="shared" si="4"/>
        <v>5954328.4390891856</v>
      </c>
      <c r="D33" s="97">
        <f t="shared" si="0"/>
        <v>59543.284390891851</v>
      </c>
      <c r="E33" s="97">
        <f t="shared" si="1"/>
        <v>133782.14354921601</v>
      </c>
      <c r="F33" s="97">
        <f t="shared" si="5"/>
        <v>193325.42794010785</v>
      </c>
      <c r="G33" s="97">
        <f t="shared" si="3"/>
        <v>5820546.2955399696</v>
      </c>
      <c r="H33" s="165"/>
      <c r="I33" s="165"/>
    </row>
    <row r="34" spans="1:9" ht="14.25" customHeight="1">
      <c r="A34" s="56" t="s">
        <v>319</v>
      </c>
      <c r="B34" s="56" t="s">
        <v>320</v>
      </c>
      <c r="C34" s="97">
        <f t="shared" si="4"/>
        <v>5820546.2955399696</v>
      </c>
      <c r="D34" s="97">
        <f t="shared" si="0"/>
        <v>58205.4629553997</v>
      </c>
      <c r="E34" s="97">
        <f t="shared" si="1"/>
        <v>135119.96498470815</v>
      </c>
      <c r="F34" s="97">
        <f t="shared" si="5"/>
        <v>193325.42794010785</v>
      </c>
      <c r="G34" s="97">
        <f t="shared" si="3"/>
        <v>5685426.3305552611</v>
      </c>
    </row>
    <row r="35" spans="1:9" ht="14.25" customHeight="1">
      <c r="A35" s="56"/>
      <c r="B35" s="56" t="s">
        <v>321</v>
      </c>
      <c r="C35" s="97">
        <f t="shared" si="4"/>
        <v>5685426.3305552611</v>
      </c>
      <c r="D35" s="97">
        <f t="shared" si="0"/>
        <v>56854.263305552602</v>
      </c>
      <c r="E35" s="97">
        <f t="shared" si="1"/>
        <v>136471.16463455526</v>
      </c>
      <c r="F35" s="97">
        <f t="shared" si="5"/>
        <v>193325.42794010785</v>
      </c>
      <c r="G35" s="97">
        <f t="shared" si="3"/>
        <v>5548955.1659207055</v>
      </c>
    </row>
    <row r="36" spans="1:9" ht="14.25" customHeight="1">
      <c r="A36" s="56"/>
      <c r="B36" s="56" t="s">
        <v>322</v>
      </c>
      <c r="C36" s="97">
        <f t="shared" si="4"/>
        <v>5548955.1659207055</v>
      </c>
      <c r="D36" s="97">
        <f t="shared" si="0"/>
        <v>55489.551659207056</v>
      </c>
      <c r="E36" s="97">
        <f t="shared" si="1"/>
        <v>137835.87628090079</v>
      </c>
      <c r="F36" s="97">
        <f t="shared" si="5"/>
        <v>193325.42794010785</v>
      </c>
      <c r="G36" s="97">
        <f t="shared" si="3"/>
        <v>5411119.2896398045</v>
      </c>
    </row>
    <row r="37" spans="1:9" ht="14.25" customHeight="1">
      <c r="A37" s="56"/>
      <c r="B37" s="56" t="s">
        <v>323</v>
      </c>
      <c r="C37" s="97">
        <f t="shared" si="4"/>
        <v>5411119.2896398045</v>
      </c>
      <c r="D37" s="97">
        <f t="shared" si="0"/>
        <v>54111.192896398046</v>
      </c>
      <c r="E37" s="97">
        <f t="shared" si="1"/>
        <v>139214.23504370981</v>
      </c>
      <c r="F37" s="97">
        <f t="shared" si="5"/>
        <v>193325.42794010785</v>
      </c>
      <c r="G37" s="97">
        <f t="shared" si="3"/>
        <v>5271905.0545960944</v>
      </c>
    </row>
    <row r="38" spans="1:9" ht="14.25" customHeight="1">
      <c r="A38" s="56"/>
      <c r="B38" s="56" t="s">
        <v>324</v>
      </c>
      <c r="C38" s="97">
        <f t="shared" si="4"/>
        <v>5271905.0545960944</v>
      </c>
      <c r="D38" s="97">
        <f t="shared" si="0"/>
        <v>52719.050545960949</v>
      </c>
      <c r="E38" s="97">
        <f t="shared" si="1"/>
        <v>140606.3773941469</v>
      </c>
      <c r="F38" s="97">
        <f t="shared" si="5"/>
        <v>193325.42794010785</v>
      </c>
      <c r="G38" s="97">
        <f t="shared" si="3"/>
        <v>5131298.6772019472</v>
      </c>
    </row>
    <row r="39" spans="1:9" ht="14.25" customHeight="1">
      <c r="A39" s="56"/>
      <c r="B39" s="56" t="s">
        <v>325</v>
      </c>
      <c r="C39" s="97">
        <f t="shared" si="4"/>
        <v>5131298.6772019472</v>
      </c>
      <c r="D39" s="97">
        <f t="shared" si="0"/>
        <v>51312.986772019474</v>
      </c>
      <c r="E39" s="97">
        <f t="shared" si="1"/>
        <v>142012.44116808838</v>
      </c>
      <c r="F39" s="97">
        <f t="shared" si="5"/>
        <v>193325.42794010785</v>
      </c>
      <c r="G39" s="97">
        <f t="shared" si="3"/>
        <v>4989286.2360338587</v>
      </c>
    </row>
    <row r="40" spans="1:9" ht="14.25" customHeight="1">
      <c r="A40" s="56"/>
      <c r="B40" s="56" t="s">
        <v>326</v>
      </c>
      <c r="C40" s="97">
        <f t="shared" si="4"/>
        <v>4989286.2360338587</v>
      </c>
      <c r="D40" s="97">
        <f t="shared" si="0"/>
        <v>49892.862360338586</v>
      </c>
      <c r="E40" s="97">
        <f t="shared" si="1"/>
        <v>143432.56557976926</v>
      </c>
      <c r="F40" s="97">
        <f t="shared" si="5"/>
        <v>193325.42794010785</v>
      </c>
      <c r="G40" s="97">
        <f t="shared" si="3"/>
        <v>4845853.6704540895</v>
      </c>
    </row>
    <row r="41" spans="1:9" ht="14.25" customHeight="1">
      <c r="A41" s="56"/>
      <c r="B41" s="56" t="s">
        <v>327</v>
      </c>
      <c r="C41" s="97">
        <f t="shared" si="4"/>
        <v>4845853.6704540895</v>
      </c>
      <c r="D41" s="97">
        <f t="shared" si="0"/>
        <v>48458.536704540893</v>
      </c>
      <c r="E41" s="97">
        <f t="shared" si="1"/>
        <v>144866.89123556696</v>
      </c>
      <c r="F41" s="97">
        <f t="shared" si="5"/>
        <v>193325.42794010785</v>
      </c>
      <c r="G41" s="97">
        <f t="shared" si="3"/>
        <v>4700986.7792185228</v>
      </c>
    </row>
    <row r="42" spans="1:9" ht="14.25" customHeight="1">
      <c r="A42" s="56"/>
      <c r="B42" s="56" t="s">
        <v>328</v>
      </c>
      <c r="C42" s="97">
        <f t="shared" si="4"/>
        <v>4700986.7792185228</v>
      </c>
      <c r="D42" s="97">
        <f t="shared" si="0"/>
        <v>47009.867792185229</v>
      </c>
      <c r="E42" s="97">
        <f t="shared" si="1"/>
        <v>146315.56014792263</v>
      </c>
      <c r="F42" s="97">
        <f t="shared" si="5"/>
        <v>193325.42794010785</v>
      </c>
      <c r="G42" s="97">
        <f t="shared" si="3"/>
        <v>4554671.2190706003</v>
      </c>
    </row>
    <row r="43" spans="1:9" ht="14.25" customHeight="1">
      <c r="A43" s="56"/>
      <c r="B43" s="56" t="s">
        <v>329</v>
      </c>
      <c r="C43" s="97">
        <f t="shared" si="4"/>
        <v>4554671.2190706003</v>
      </c>
      <c r="D43" s="97">
        <f t="shared" si="0"/>
        <v>45546.712190705999</v>
      </c>
      <c r="E43" s="97">
        <f t="shared" si="1"/>
        <v>147778.71574940186</v>
      </c>
      <c r="F43" s="97">
        <f t="shared" si="5"/>
        <v>193325.42794010785</v>
      </c>
      <c r="G43" s="97">
        <f t="shared" si="3"/>
        <v>4406892.5033211987</v>
      </c>
    </row>
    <row r="44" spans="1:9" ht="14.25" customHeight="1">
      <c r="A44" s="56"/>
      <c r="B44" s="56" t="s">
        <v>330</v>
      </c>
      <c r="C44" s="97">
        <f t="shared" si="4"/>
        <v>4406892.5033211987</v>
      </c>
      <c r="D44" s="97">
        <f t="shared" si="0"/>
        <v>44068.925033211992</v>
      </c>
      <c r="E44" s="97">
        <f t="shared" si="1"/>
        <v>149256.50290689585</v>
      </c>
      <c r="F44" s="97">
        <f t="shared" si="5"/>
        <v>193325.42794010785</v>
      </c>
      <c r="G44" s="97">
        <f t="shared" si="3"/>
        <v>4257636.0004143026</v>
      </c>
    </row>
    <row r="45" spans="1:9" ht="14.25" customHeight="1">
      <c r="A45" s="56"/>
      <c r="B45" s="56" t="s">
        <v>331</v>
      </c>
      <c r="C45" s="97">
        <f t="shared" si="4"/>
        <v>4257636.0004143026</v>
      </c>
      <c r="D45" s="97">
        <f t="shared" si="0"/>
        <v>42576.360004143025</v>
      </c>
      <c r="E45" s="97">
        <f t="shared" si="1"/>
        <v>150749.06793596482</v>
      </c>
      <c r="F45" s="97">
        <f t="shared" si="5"/>
        <v>193325.42794010785</v>
      </c>
      <c r="G45" s="97">
        <f t="shared" si="3"/>
        <v>4106886.9324783375</v>
      </c>
      <c r="H45" s="165"/>
      <c r="I45" s="165"/>
    </row>
    <row r="46" spans="1:9" ht="14.25" customHeight="1">
      <c r="A46" s="56" t="s">
        <v>332</v>
      </c>
      <c r="B46" s="56" t="s">
        <v>333</v>
      </c>
      <c r="C46" s="97">
        <f t="shared" si="4"/>
        <v>4106886.9324783375</v>
      </c>
      <c r="D46" s="97">
        <f t="shared" si="0"/>
        <v>41068.869324783373</v>
      </c>
      <c r="E46" s="97">
        <f t="shared" si="1"/>
        <v>152256.55861532449</v>
      </c>
      <c r="F46" s="97">
        <f t="shared" si="5"/>
        <v>193325.42794010785</v>
      </c>
      <c r="G46" s="97">
        <f t="shared" si="3"/>
        <v>3954630.373863013</v>
      </c>
    </row>
    <row r="47" spans="1:9" ht="14.25" customHeight="1">
      <c r="A47" s="56"/>
      <c r="B47" s="56" t="s">
        <v>334</v>
      </c>
      <c r="C47" s="97">
        <f t="shared" si="4"/>
        <v>3954630.373863013</v>
      </c>
      <c r="D47" s="97">
        <f t="shared" si="0"/>
        <v>39546.303738630129</v>
      </c>
      <c r="E47" s="97">
        <f t="shared" si="1"/>
        <v>153779.12420147774</v>
      </c>
      <c r="F47" s="97">
        <f t="shared" si="5"/>
        <v>193325.42794010785</v>
      </c>
      <c r="G47" s="97">
        <f t="shared" si="3"/>
        <v>3800851.249661535</v>
      </c>
    </row>
    <row r="48" spans="1:9" ht="14.25" customHeight="1">
      <c r="A48" s="56"/>
      <c r="B48" s="56" t="s">
        <v>335</v>
      </c>
      <c r="C48" s="97">
        <f t="shared" si="4"/>
        <v>3800851.249661535</v>
      </c>
      <c r="D48" s="97">
        <f t="shared" si="0"/>
        <v>38008.512496615345</v>
      </c>
      <c r="E48" s="97">
        <f t="shared" si="1"/>
        <v>155316.9154434925</v>
      </c>
      <c r="F48" s="97">
        <f t="shared" si="5"/>
        <v>193325.42794010785</v>
      </c>
      <c r="G48" s="97">
        <f t="shared" si="3"/>
        <v>3645534.3342180424</v>
      </c>
    </row>
    <row r="49" spans="1:9" ht="14.25" customHeight="1">
      <c r="A49" s="56"/>
      <c r="B49" s="56" t="s">
        <v>336</v>
      </c>
      <c r="C49" s="97">
        <f t="shared" si="4"/>
        <v>3645534.3342180424</v>
      </c>
      <c r="D49" s="97">
        <f t="shared" si="0"/>
        <v>36455.343342180422</v>
      </c>
      <c r="E49" s="97">
        <f t="shared" si="1"/>
        <v>156870.08459792743</v>
      </c>
      <c r="F49" s="97">
        <f t="shared" si="5"/>
        <v>193325.42794010785</v>
      </c>
      <c r="G49" s="97">
        <f t="shared" si="3"/>
        <v>3488664.2496201149</v>
      </c>
    </row>
    <row r="50" spans="1:9" ht="14.25" customHeight="1">
      <c r="A50" s="56"/>
      <c r="B50" s="56" t="s">
        <v>337</v>
      </c>
      <c r="C50" s="97">
        <f t="shared" si="4"/>
        <v>3488664.2496201149</v>
      </c>
      <c r="D50" s="97">
        <f t="shared" si="0"/>
        <v>34886.642496201144</v>
      </c>
      <c r="E50" s="97">
        <f t="shared" si="1"/>
        <v>158438.7854439067</v>
      </c>
      <c r="F50" s="97">
        <f t="shared" si="5"/>
        <v>193325.42794010785</v>
      </c>
      <c r="G50" s="97">
        <f t="shared" si="3"/>
        <v>3330225.4641762082</v>
      </c>
    </row>
    <row r="51" spans="1:9" ht="14.25" customHeight="1">
      <c r="A51" s="56"/>
      <c r="B51" s="56" t="s">
        <v>338</v>
      </c>
      <c r="C51" s="97">
        <f t="shared" si="4"/>
        <v>3330225.4641762082</v>
      </c>
      <c r="D51" s="97">
        <f t="shared" si="0"/>
        <v>33302.254641762083</v>
      </c>
      <c r="E51" s="97">
        <f t="shared" si="1"/>
        <v>160023.17329834576</v>
      </c>
      <c r="F51" s="97">
        <f t="shared" si="5"/>
        <v>193325.42794010785</v>
      </c>
      <c r="G51" s="97">
        <f t="shared" si="3"/>
        <v>3170202.2908778624</v>
      </c>
    </row>
    <row r="52" spans="1:9" ht="14.25" customHeight="1">
      <c r="A52" s="56"/>
      <c r="B52" s="56" t="s">
        <v>339</v>
      </c>
      <c r="C52" s="97">
        <f t="shared" si="4"/>
        <v>3170202.2908778624</v>
      </c>
      <c r="D52" s="97">
        <f t="shared" si="0"/>
        <v>31702.022908778625</v>
      </c>
      <c r="E52" s="97">
        <f t="shared" si="1"/>
        <v>161623.40503132922</v>
      </c>
      <c r="F52" s="97">
        <f t="shared" si="5"/>
        <v>193325.42794010785</v>
      </c>
      <c r="G52" s="97">
        <f t="shared" si="3"/>
        <v>3008578.8858465333</v>
      </c>
    </row>
    <row r="53" spans="1:9" ht="14.25" customHeight="1">
      <c r="A53" s="56"/>
      <c r="B53" s="56" t="s">
        <v>340</v>
      </c>
      <c r="C53" s="97">
        <f t="shared" si="4"/>
        <v>3008578.8858465333</v>
      </c>
      <c r="D53" s="97">
        <f t="shared" si="0"/>
        <v>30085.78885846533</v>
      </c>
      <c r="E53" s="97">
        <f t="shared" si="1"/>
        <v>163239.63908164253</v>
      </c>
      <c r="F53" s="97">
        <f t="shared" si="5"/>
        <v>193325.42794010785</v>
      </c>
      <c r="G53" s="97">
        <f t="shared" si="3"/>
        <v>2845339.2467648908</v>
      </c>
    </row>
    <row r="54" spans="1:9" ht="14.25" customHeight="1">
      <c r="A54" s="56"/>
      <c r="B54" s="56" t="s">
        <v>341</v>
      </c>
      <c r="C54" s="97">
        <f t="shared" si="4"/>
        <v>2845339.2467648908</v>
      </c>
      <c r="D54" s="97">
        <f t="shared" si="0"/>
        <v>28453.392467648908</v>
      </c>
      <c r="E54" s="97">
        <f t="shared" si="1"/>
        <v>164872.03547245896</v>
      </c>
      <c r="F54" s="97">
        <f t="shared" si="5"/>
        <v>193325.42794010785</v>
      </c>
      <c r="G54" s="97">
        <f t="shared" si="3"/>
        <v>2680467.2112924317</v>
      </c>
    </row>
    <row r="55" spans="1:9" ht="14.25" customHeight="1">
      <c r="A55" s="56"/>
      <c r="B55" s="56" t="s">
        <v>342</v>
      </c>
      <c r="C55" s="97">
        <f t="shared" si="4"/>
        <v>2680467.2112924317</v>
      </c>
      <c r="D55" s="97">
        <f t="shared" si="0"/>
        <v>26804.672112924312</v>
      </c>
      <c r="E55" s="97">
        <f t="shared" si="1"/>
        <v>166520.75582718354</v>
      </c>
      <c r="F55" s="97">
        <f t="shared" si="5"/>
        <v>193325.42794010785</v>
      </c>
      <c r="G55" s="97">
        <f t="shared" si="3"/>
        <v>2513946.4554652483</v>
      </c>
    </row>
    <row r="56" spans="1:9" ht="14.25" customHeight="1">
      <c r="A56" s="56"/>
      <c r="B56" s="56" t="s">
        <v>343</v>
      </c>
      <c r="C56" s="97">
        <f t="shared" si="4"/>
        <v>2513946.4554652483</v>
      </c>
      <c r="D56" s="97">
        <f t="shared" si="0"/>
        <v>25139.464554652484</v>
      </c>
      <c r="E56" s="97">
        <f t="shared" si="1"/>
        <v>168185.96338545537</v>
      </c>
      <c r="F56" s="97">
        <f t="shared" si="5"/>
        <v>193325.42794010785</v>
      </c>
      <c r="G56" s="97">
        <f t="shared" si="3"/>
        <v>2345760.492079793</v>
      </c>
    </row>
    <row r="57" spans="1:9" ht="14.25" customHeight="1">
      <c r="A57" s="56"/>
      <c r="B57" s="56" t="s">
        <v>344</v>
      </c>
      <c r="C57" s="97">
        <f t="shared" si="4"/>
        <v>2345760.492079793</v>
      </c>
      <c r="D57" s="97">
        <f t="shared" si="0"/>
        <v>23457.604920797927</v>
      </c>
      <c r="E57" s="97">
        <f t="shared" si="1"/>
        <v>169867.82301930993</v>
      </c>
      <c r="F57" s="97">
        <f t="shared" si="5"/>
        <v>193325.42794010785</v>
      </c>
      <c r="G57" s="97">
        <f t="shared" si="3"/>
        <v>2175892.6690604831</v>
      </c>
      <c r="H57" s="165"/>
      <c r="I57" s="165"/>
    </row>
    <row r="58" spans="1:9" ht="14.25" customHeight="1">
      <c r="A58" s="56" t="s">
        <v>345</v>
      </c>
      <c r="B58" s="56" t="s">
        <v>346</v>
      </c>
      <c r="C58" s="97">
        <f t="shared" si="4"/>
        <v>2175892.6690604831</v>
      </c>
      <c r="D58" s="97">
        <f t="shared" si="0"/>
        <v>21758.926690604832</v>
      </c>
      <c r="E58" s="97">
        <f t="shared" si="1"/>
        <v>171566.50124950302</v>
      </c>
      <c r="F58" s="97">
        <f t="shared" si="5"/>
        <v>193325.42794010785</v>
      </c>
      <c r="G58" s="97">
        <f t="shared" si="3"/>
        <v>2004326.16781098</v>
      </c>
    </row>
    <row r="59" spans="1:9" ht="14.25" customHeight="1">
      <c r="A59" s="56"/>
      <c r="B59" s="56" t="s">
        <v>347</v>
      </c>
      <c r="C59" s="97">
        <f t="shared" si="4"/>
        <v>2004326.16781098</v>
      </c>
      <c r="D59" s="97">
        <f t="shared" si="0"/>
        <v>20043.2616781098</v>
      </c>
      <c r="E59" s="97">
        <f t="shared" si="1"/>
        <v>173282.16626199806</v>
      </c>
      <c r="F59" s="97">
        <f t="shared" si="5"/>
        <v>193325.42794010785</v>
      </c>
      <c r="G59" s="97">
        <f t="shared" si="3"/>
        <v>1831044.001548982</v>
      </c>
    </row>
    <row r="60" spans="1:9" ht="14.25" customHeight="1">
      <c r="A60" s="56"/>
      <c r="B60" s="56" t="s">
        <v>348</v>
      </c>
      <c r="C60" s="97">
        <f t="shared" si="4"/>
        <v>1831044.001548982</v>
      </c>
      <c r="D60" s="97">
        <f t="shared" si="0"/>
        <v>18310.440015489821</v>
      </c>
      <c r="E60" s="97">
        <f t="shared" si="1"/>
        <v>175014.98792461804</v>
      </c>
      <c r="F60" s="97">
        <f t="shared" si="5"/>
        <v>193325.42794010785</v>
      </c>
      <c r="G60" s="97">
        <f t="shared" si="3"/>
        <v>1656029.013624364</v>
      </c>
    </row>
    <row r="61" spans="1:9" ht="14.25" customHeight="1">
      <c r="A61" s="56"/>
      <c r="B61" s="56" t="s">
        <v>349</v>
      </c>
      <c r="C61" s="97">
        <f t="shared" si="4"/>
        <v>1656029.013624364</v>
      </c>
      <c r="D61" s="97">
        <f t="shared" si="0"/>
        <v>16560.290136243639</v>
      </c>
      <c r="E61" s="97">
        <f t="shared" si="1"/>
        <v>176765.1378038642</v>
      </c>
      <c r="F61" s="97">
        <f t="shared" si="5"/>
        <v>193325.42794010785</v>
      </c>
      <c r="G61" s="97">
        <f t="shared" si="3"/>
        <v>1479263.8758204998</v>
      </c>
    </row>
    <row r="62" spans="1:9" ht="14.25" customHeight="1">
      <c r="A62" s="56"/>
      <c r="B62" s="56" t="s">
        <v>350</v>
      </c>
      <c r="C62" s="97">
        <f t="shared" si="4"/>
        <v>1479263.8758204998</v>
      </c>
      <c r="D62" s="97">
        <f t="shared" si="0"/>
        <v>14792.638758204999</v>
      </c>
      <c r="E62" s="97">
        <f t="shared" si="1"/>
        <v>178532.78918190286</v>
      </c>
      <c r="F62" s="97">
        <f t="shared" si="5"/>
        <v>193325.42794010785</v>
      </c>
      <c r="G62" s="97">
        <f t="shared" si="3"/>
        <v>1300731.0866385971</v>
      </c>
    </row>
    <row r="63" spans="1:9" ht="14.25" customHeight="1">
      <c r="A63" s="56"/>
      <c r="B63" s="56" t="s">
        <v>351</v>
      </c>
      <c r="C63" s="97">
        <f t="shared" si="4"/>
        <v>1300731.0866385971</v>
      </c>
      <c r="D63" s="97">
        <f t="shared" si="0"/>
        <v>13007.310866385969</v>
      </c>
      <c r="E63" s="97">
        <f t="shared" si="1"/>
        <v>180318.11707372189</v>
      </c>
      <c r="F63" s="97">
        <f t="shared" si="5"/>
        <v>193325.42794010785</v>
      </c>
      <c r="G63" s="97">
        <f t="shared" si="3"/>
        <v>1120412.9695648751</v>
      </c>
    </row>
    <row r="64" spans="1:9" ht="14.25" customHeight="1">
      <c r="A64" s="56"/>
      <c r="B64" s="56" t="s">
        <v>352</v>
      </c>
      <c r="C64" s="97">
        <f t="shared" si="4"/>
        <v>1120412.9695648751</v>
      </c>
      <c r="D64" s="97">
        <f t="shared" si="0"/>
        <v>11204.129695648751</v>
      </c>
      <c r="E64" s="97">
        <f t="shared" si="1"/>
        <v>182121.29824445909</v>
      </c>
      <c r="F64" s="97">
        <f t="shared" si="5"/>
        <v>193325.42794010785</v>
      </c>
      <c r="G64" s="97">
        <f t="shared" si="3"/>
        <v>938291.67132041603</v>
      </c>
    </row>
    <row r="65" spans="1:9" ht="14.25" customHeight="1">
      <c r="A65" s="56"/>
      <c r="B65" s="56" t="s">
        <v>353</v>
      </c>
      <c r="C65" s="97">
        <f t="shared" si="4"/>
        <v>938291.67132041603</v>
      </c>
      <c r="D65" s="97">
        <f t="shared" si="0"/>
        <v>9382.9167132041603</v>
      </c>
      <c r="E65" s="97">
        <f t="shared" si="1"/>
        <v>183942.51122690371</v>
      </c>
      <c r="F65" s="97">
        <f t="shared" si="5"/>
        <v>193325.42794010785</v>
      </c>
      <c r="G65" s="97">
        <f t="shared" si="3"/>
        <v>754349.16009351239</v>
      </c>
    </row>
    <row r="66" spans="1:9" ht="14.25" customHeight="1">
      <c r="A66" s="56"/>
      <c r="B66" s="56" t="s">
        <v>354</v>
      </c>
      <c r="C66" s="97">
        <f t="shared" si="4"/>
        <v>754349.16009351239</v>
      </c>
      <c r="D66" s="97">
        <f t="shared" si="0"/>
        <v>7543.4916009351227</v>
      </c>
      <c r="E66" s="97">
        <f t="shared" si="1"/>
        <v>185781.93633917274</v>
      </c>
      <c r="F66" s="97">
        <f t="shared" si="5"/>
        <v>193325.42794010785</v>
      </c>
      <c r="G66" s="97">
        <f t="shared" si="3"/>
        <v>568567.22375433962</v>
      </c>
    </row>
    <row r="67" spans="1:9" ht="14.25" customHeight="1">
      <c r="A67" s="56"/>
      <c r="B67" s="56" t="s">
        <v>355</v>
      </c>
      <c r="C67" s="97">
        <f t="shared" si="4"/>
        <v>568567.22375433962</v>
      </c>
      <c r="D67" s="97">
        <f t="shared" si="0"/>
        <v>5685.6722375433965</v>
      </c>
      <c r="E67" s="97">
        <f t="shared" si="1"/>
        <v>187639.75570256446</v>
      </c>
      <c r="F67" s="97">
        <f t="shared" si="5"/>
        <v>193325.42794010785</v>
      </c>
      <c r="G67" s="97">
        <f t="shared" si="3"/>
        <v>380927.46805177513</v>
      </c>
    </row>
    <row r="68" spans="1:9" ht="14.25" customHeight="1">
      <c r="A68" s="56"/>
      <c r="B68" s="56" t="s">
        <v>356</v>
      </c>
      <c r="C68" s="97">
        <f t="shared" si="4"/>
        <v>380927.46805177513</v>
      </c>
      <c r="D68" s="97">
        <f t="shared" si="0"/>
        <v>3809.2746805177508</v>
      </c>
      <c r="E68" s="97">
        <f t="shared" si="1"/>
        <v>189516.15325959009</v>
      </c>
      <c r="F68" s="97">
        <f t="shared" si="5"/>
        <v>193325.42794010785</v>
      </c>
      <c r="G68" s="97">
        <f t="shared" si="3"/>
        <v>191411.31479218503</v>
      </c>
    </row>
    <row r="69" spans="1:9" ht="14.25" customHeight="1">
      <c r="A69" s="56"/>
      <c r="B69" s="56" t="s">
        <v>357</v>
      </c>
      <c r="C69" s="97">
        <f t="shared" si="4"/>
        <v>191411.31479218503</v>
      </c>
      <c r="D69" s="97">
        <f t="shared" si="0"/>
        <v>1914.1131479218502</v>
      </c>
      <c r="E69" s="97">
        <f t="shared" si="1"/>
        <v>191411.31479218599</v>
      </c>
      <c r="F69" s="97">
        <f t="shared" si="5"/>
        <v>193325.42794010785</v>
      </c>
      <c r="G69" s="97">
        <f t="shared" si="3"/>
        <v>-9.6042640507221222E-10</v>
      </c>
      <c r="H69" s="165"/>
      <c r="I69" s="165"/>
    </row>
    <row r="70" spans="1:9" ht="14.25" customHeight="1">
      <c r="A70" s="56" t="s">
        <v>358</v>
      </c>
      <c r="B70" s="56"/>
      <c r="C70" s="97"/>
      <c r="D70" s="97"/>
      <c r="E70" s="97"/>
      <c r="F70" s="97"/>
      <c r="G70" s="97"/>
    </row>
    <row r="71" spans="1:9" ht="14.25" customHeight="1">
      <c r="A71" s="56"/>
      <c r="B71" s="56"/>
      <c r="C71" s="97"/>
      <c r="D71" s="97"/>
      <c r="E71" s="97"/>
      <c r="F71" s="97"/>
      <c r="G71" s="97"/>
    </row>
    <row r="72" spans="1:9" ht="14.25" customHeight="1">
      <c r="A72" s="56"/>
      <c r="B72" s="56"/>
      <c r="C72" s="97"/>
      <c r="D72" s="97"/>
      <c r="E72" s="97"/>
      <c r="F72" s="97"/>
      <c r="G72" s="97"/>
    </row>
    <row r="73" spans="1:9" ht="14.25" customHeight="1">
      <c r="A73" s="56"/>
      <c r="B73" s="56"/>
      <c r="C73" s="97"/>
      <c r="D73" s="97"/>
      <c r="E73" s="97"/>
      <c r="F73" s="97"/>
      <c r="G73" s="97"/>
    </row>
    <row r="74" spans="1:9" ht="14.25" customHeight="1">
      <c r="A74" s="56"/>
      <c r="B74" s="56"/>
      <c r="C74" s="97"/>
      <c r="D74" s="97"/>
      <c r="E74" s="97"/>
      <c r="F74" s="97"/>
      <c r="G74" s="97"/>
    </row>
    <row r="75" spans="1:9" ht="14.25" customHeight="1">
      <c r="A75" s="56"/>
      <c r="B75" s="56"/>
      <c r="C75" s="97"/>
      <c r="D75" s="97"/>
      <c r="E75" s="97"/>
      <c r="F75" s="97"/>
      <c r="G75" s="97"/>
    </row>
    <row r="76" spans="1:9" ht="14.25" customHeight="1">
      <c r="A76" s="56"/>
      <c r="B76" s="56"/>
      <c r="C76" s="97"/>
      <c r="D76" s="97"/>
      <c r="E76" s="97"/>
      <c r="F76" s="97"/>
      <c r="G76" s="97"/>
    </row>
    <row r="77" spans="1:9" ht="14.25" customHeight="1">
      <c r="A77" s="56"/>
      <c r="B77" s="56"/>
      <c r="C77" s="97"/>
      <c r="D77" s="97"/>
      <c r="E77" s="97"/>
      <c r="F77" s="97"/>
      <c r="G77" s="97"/>
    </row>
    <row r="78" spans="1:9" ht="14.25" customHeight="1">
      <c r="A78" s="56"/>
      <c r="B78" s="56"/>
      <c r="C78" s="97"/>
      <c r="D78" s="97"/>
      <c r="E78" s="97"/>
      <c r="F78" s="97"/>
      <c r="G78" s="97"/>
    </row>
    <row r="79" spans="1:9" ht="14.25" customHeight="1">
      <c r="A79" s="56"/>
      <c r="B79" s="56"/>
      <c r="C79" s="97"/>
      <c r="D79" s="97"/>
      <c r="E79" s="97"/>
      <c r="F79" s="97"/>
      <c r="G79" s="97"/>
    </row>
    <row r="80" spans="1:9" ht="14.25" customHeight="1">
      <c r="A80" s="56"/>
      <c r="B80" s="56"/>
      <c r="C80" s="97"/>
      <c r="D80" s="97"/>
      <c r="E80" s="97"/>
      <c r="F80" s="97"/>
      <c r="G80" s="97"/>
    </row>
    <row r="81" spans="1:9" ht="14.25" customHeight="1">
      <c r="A81" s="56"/>
      <c r="B81" s="56"/>
      <c r="C81" s="97"/>
      <c r="D81" s="97"/>
      <c r="E81" s="97"/>
      <c r="F81" s="97"/>
      <c r="G81" s="97"/>
      <c r="H81" s="165"/>
      <c r="I81" s="165"/>
    </row>
    <row r="82" spans="1:9" ht="14.25" customHeight="1">
      <c r="A82" s="56" t="s">
        <v>359</v>
      </c>
      <c r="B82" s="56"/>
      <c r="C82" s="97"/>
      <c r="D82" s="97"/>
      <c r="E82" s="97"/>
      <c r="F82" s="97"/>
      <c r="G82" s="97"/>
    </row>
    <row r="83" spans="1:9" ht="14.25" customHeight="1">
      <c r="A83" s="56"/>
      <c r="B83" s="56"/>
      <c r="C83" s="97"/>
      <c r="D83" s="97"/>
      <c r="E83" s="97"/>
      <c r="F83" s="97"/>
      <c r="G83" s="97"/>
    </row>
    <row r="84" spans="1:9" ht="14.25" customHeight="1">
      <c r="A84" s="56"/>
      <c r="B84" s="56"/>
      <c r="C84" s="97"/>
      <c r="D84" s="97"/>
      <c r="E84" s="97"/>
      <c r="F84" s="97"/>
      <c r="G84" s="97"/>
    </row>
    <row r="85" spans="1:9" ht="14.25" customHeight="1">
      <c r="A85" s="56"/>
      <c r="B85" s="56"/>
      <c r="C85" s="97"/>
      <c r="D85" s="97"/>
      <c r="E85" s="97"/>
      <c r="F85" s="97"/>
      <c r="G85" s="97"/>
    </row>
    <row r="86" spans="1:9" ht="14.25" customHeight="1">
      <c r="A86" s="56"/>
      <c r="B86" s="56"/>
      <c r="C86" s="97"/>
      <c r="D86" s="97"/>
      <c r="E86" s="97"/>
      <c r="F86" s="97"/>
      <c r="G86" s="97"/>
    </row>
    <row r="87" spans="1:9" ht="14.25" customHeight="1">
      <c r="A87" s="56"/>
      <c r="B87" s="56"/>
      <c r="C87" s="97"/>
      <c r="D87" s="97"/>
      <c r="E87" s="97"/>
      <c r="F87" s="97"/>
      <c r="G87" s="97"/>
    </row>
    <row r="88" spans="1:9" ht="14.25" customHeight="1">
      <c r="A88" s="56"/>
      <c r="B88" s="56"/>
      <c r="C88" s="97"/>
      <c r="D88" s="97"/>
      <c r="E88" s="97"/>
      <c r="F88" s="97"/>
      <c r="G88" s="97"/>
    </row>
    <row r="89" spans="1:9" ht="14.25" customHeight="1">
      <c r="A89" s="56"/>
      <c r="B89" s="56"/>
      <c r="C89" s="97"/>
      <c r="D89" s="97"/>
      <c r="E89" s="97"/>
      <c r="F89" s="97"/>
      <c r="G89" s="97"/>
    </row>
    <row r="90" spans="1:9" ht="14.25" customHeight="1">
      <c r="A90" s="56"/>
      <c r="B90" s="56"/>
      <c r="C90" s="97"/>
      <c r="D90" s="97"/>
      <c r="E90" s="97"/>
      <c r="F90" s="97"/>
      <c r="G90" s="97"/>
    </row>
    <row r="91" spans="1:9" ht="14.25" customHeight="1">
      <c r="A91" s="56"/>
      <c r="B91" s="56"/>
      <c r="C91" s="97"/>
      <c r="D91" s="97"/>
      <c r="E91" s="97"/>
      <c r="F91" s="97"/>
      <c r="G91" s="97"/>
    </row>
    <row r="92" spans="1:9" ht="14.25" customHeight="1">
      <c r="A92" s="56"/>
      <c r="B92" s="56"/>
      <c r="C92" s="97"/>
      <c r="D92" s="97"/>
      <c r="E92" s="97"/>
      <c r="F92" s="97"/>
      <c r="G92" s="97"/>
    </row>
    <row r="93" spans="1:9" ht="14.25" customHeight="1">
      <c r="A93" s="56"/>
      <c r="B93" s="56"/>
      <c r="C93" s="97"/>
      <c r="D93" s="97"/>
      <c r="E93" s="97"/>
      <c r="F93" s="97"/>
      <c r="G93" s="97"/>
    </row>
    <row r="94" spans="1:9" ht="14.25" customHeight="1">
      <c r="A94" s="92"/>
      <c r="B94" s="92"/>
      <c r="C94" s="92"/>
      <c r="D94" s="166">
        <f t="shared" ref="D94:E94" si="6">SUM(D10:D93)</f>
        <v>2885470.1230858229</v>
      </c>
      <c r="E94" s="166">
        <f t="shared" si="6"/>
        <v>8036279.7720000008</v>
      </c>
      <c r="F94" s="92"/>
      <c r="G94" s="92"/>
    </row>
    <row r="95" spans="1:9" ht="39.75" customHeight="1">
      <c r="A95" s="384" t="s">
        <v>360</v>
      </c>
      <c r="B95" s="360"/>
      <c r="C95" s="360"/>
      <c r="D95" s="360"/>
      <c r="E95" s="360"/>
      <c r="F95" s="360"/>
      <c r="G95" s="360"/>
      <c r="H95" s="360"/>
    </row>
    <row r="96" spans="1:9" ht="14.25" customHeight="1">
      <c r="A96" t="s">
        <v>361</v>
      </c>
    </row>
    <row r="97" spans="1:2" ht="14.25" customHeight="1">
      <c r="A97">
        <v>1</v>
      </c>
      <c r="B97" t="s">
        <v>362</v>
      </c>
    </row>
    <row r="98" spans="1:2" ht="14.25" customHeight="1">
      <c r="A98">
        <v>2</v>
      </c>
      <c r="B98" t="s">
        <v>363</v>
      </c>
    </row>
    <row r="99" spans="1:2" ht="14.25" customHeight="1"/>
    <row r="100" spans="1:2" ht="14.25" customHeight="1"/>
  </sheetData>
  <mergeCells count="2">
    <mergeCell ref="A2:G2"/>
    <mergeCell ref="A95:H95"/>
  </mergeCells>
  <pageMargins left="0.7" right="0.7" top="0.75" bottom="0.75" header="0" footer="0"/>
  <pageSetup scale="5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
  <sheetViews>
    <sheetView workbookViewId="0"/>
  </sheetViews>
  <sheetFormatPr defaultColWidth="14.42578125" defaultRowHeight="15" customHeight="1"/>
  <cols>
    <col min="1" max="1" width="8.7109375" customWidth="1"/>
    <col min="2" max="2" width="7.5703125" customWidth="1"/>
    <col min="3" max="3" width="30.5703125" customWidth="1"/>
    <col min="4" max="4" width="16.85546875" customWidth="1"/>
    <col min="5" max="5" width="12.5703125" customWidth="1"/>
    <col min="6" max="6" width="16" customWidth="1"/>
    <col min="7" max="7" width="20.42578125" customWidth="1"/>
    <col min="8" max="8" width="23.140625" customWidth="1"/>
    <col min="9" max="9" width="26.85546875" customWidth="1"/>
    <col min="10" max="10" width="29.42578125" customWidth="1"/>
    <col min="11" max="11" width="32.140625" customWidth="1"/>
    <col min="12" max="13" width="8.710937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8.7109375" hidden="1" customWidth="1"/>
    <col min="21" max="21" width="24" hidden="1" customWidth="1"/>
    <col min="22" max="22" width="12.5703125" hidden="1" customWidth="1"/>
  </cols>
  <sheetData>
    <row r="1" spans="3:22" ht="14.25" customHeight="1"/>
    <row r="2" spans="3:22" ht="14.25" customHeight="1">
      <c r="C2" s="359" t="s">
        <v>364</v>
      </c>
      <c r="D2" s="360"/>
      <c r="E2" s="360"/>
      <c r="F2" s="360"/>
      <c r="G2" s="360"/>
      <c r="H2" s="360"/>
      <c r="I2" s="360"/>
      <c r="J2" s="360"/>
      <c r="K2" s="360"/>
      <c r="L2" s="167"/>
    </row>
    <row r="3" spans="3:22" ht="14.25" customHeight="1"/>
    <row r="4" spans="3:22" ht="14.25" customHeight="1">
      <c r="C4" s="168" t="s">
        <v>201</v>
      </c>
      <c r="D4" s="168"/>
      <c r="E4" s="169" t="s">
        <v>204</v>
      </c>
      <c r="F4" s="169" t="s">
        <v>205</v>
      </c>
      <c r="G4" s="169" t="s">
        <v>206</v>
      </c>
      <c r="H4" s="169" t="s">
        <v>207</v>
      </c>
      <c r="I4" s="169" t="s">
        <v>208</v>
      </c>
      <c r="J4" s="169" t="s">
        <v>209</v>
      </c>
      <c r="K4" s="169" t="s">
        <v>210</v>
      </c>
      <c r="L4" s="92"/>
      <c r="M4" s="92"/>
      <c r="N4" s="170"/>
      <c r="O4" s="170"/>
      <c r="P4" s="170"/>
      <c r="Q4" s="170"/>
      <c r="R4" s="170"/>
      <c r="S4" s="170"/>
      <c r="T4" s="170"/>
      <c r="U4" s="170"/>
      <c r="V4" s="170"/>
    </row>
    <row r="5" spans="3:22" ht="14.25" customHeight="1">
      <c r="C5" s="56" t="s">
        <v>365</v>
      </c>
      <c r="D5" s="56"/>
      <c r="E5" s="56"/>
      <c r="F5" s="56"/>
      <c r="G5" s="56"/>
      <c r="H5" s="56"/>
      <c r="I5" s="56"/>
      <c r="J5" s="56"/>
      <c r="K5" s="56"/>
      <c r="L5" s="92"/>
      <c r="M5" s="92"/>
      <c r="N5" s="388" t="s">
        <v>366</v>
      </c>
      <c r="O5" s="373"/>
      <c r="P5" s="373"/>
      <c r="Q5" s="373"/>
      <c r="R5" s="374"/>
      <c r="S5" s="170"/>
      <c r="T5" s="170"/>
      <c r="U5" s="388" t="s">
        <v>367</v>
      </c>
      <c r="V5" s="374"/>
    </row>
    <row r="6" spans="3:22" ht="14.25" hidden="1" customHeight="1">
      <c r="C6" s="56" t="s">
        <v>368</v>
      </c>
      <c r="D6" s="171"/>
      <c r="E6" s="56"/>
      <c r="F6" s="97">
        <f t="shared" ref="F6:K6" si="0">E15</f>
        <v>0</v>
      </c>
      <c r="G6" s="97">
        <f t="shared" si="0"/>
        <v>0</v>
      </c>
      <c r="H6" s="97">
        <f t="shared" si="0"/>
        <v>0</v>
      </c>
      <c r="I6" s="97">
        <f t="shared" si="0"/>
        <v>0</v>
      </c>
      <c r="J6" s="97">
        <f t="shared" si="0"/>
        <v>0</v>
      </c>
      <c r="K6" s="97">
        <f t="shared" si="0"/>
        <v>0</v>
      </c>
      <c r="L6" s="92"/>
      <c r="M6" s="92"/>
      <c r="N6" s="385" t="s">
        <v>369</v>
      </c>
      <c r="O6" s="386"/>
      <c r="P6" s="386"/>
      <c r="Q6" s="386"/>
      <c r="R6" s="387"/>
      <c r="S6" s="170"/>
      <c r="T6" s="170"/>
      <c r="U6" s="385" t="s">
        <v>369</v>
      </c>
      <c r="V6" s="387"/>
    </row>
    <row r="7" spans="3:22" ht="14.25" customHeight="1">
      <c r="C7" s="56" t="str">
        <f t="shared" ref="C7:C9" si="1">C16</f>
        <v>Flour Mill</v>
      </c>
      <c r="D7" s="171"/>
      <c r="E7" s="56"/>
      <c r="F7" s="97">
        <f t="shared" ref="F7:K7" si="2">E16</f>
        <v>1127007.6977412</v>
      </c>
      <c r="G7" s="97">
        <f t="shared" si="2"/>
        <v>1378379.9373659701</v>
      </c>
      <c r="H7" s="97">
        <f t="shared" si="2"/>
        <v>1652071.8817088641</v>
      </c>
      <c r="I7" s="97">
        <f t="shared" si="2"/>
        <v>1949687.0706426327</v>
      </c>
      <c r="J7" s="97">
        <f t="shared" si="2"/>
        <v>2272933.5987655059</v>
      </c>
      <c r="K7" s="97">
        <f t="shared" si="2"/>
        <v>2623630.5620240602</v>
      </c>
      <c r="L7" s="92"/>
      <c r="M7" s="92"/>
      <c r="N7" s="172" t="s">
        <v>201</v>
      </c>
      <c r="O7" s="172" t="s">
        <v>370</v>
      </c>
      <c r="P7" s="172" t="s">
        <v>371</v>
      </c>
      <c r="Q7" s="172" t="s">
        <v>372</v>
      </c>
      <c r="R7" s="172" t="s">
        <v>373</v>
      </c>
      <c r="S7" s="170"/>
      <c r="T7" s="170"/>
      <c r="U7" s="173" t="s">
        <v>201</v>
      </c>
      <c r="V7" s="173" t="s">
        <v>374</v>
      </c>
    </row>
    <row r="8" spans="3:22" ht="14.25" customHeight="1">
      <c r="C8" s="56" t="str">
        <f t="shared" si="1"/>
        <v>Cleaning &amp; Grading</v>
      </c>
      <c r="D8" s="171"/>
      <c r="E8" s="56"/>
      <c r="F8" s="97">
        <f t="shared" ref="F8:K8" si="3">E17</f>
        <v>404047.49512724992</v>
      </c>
      <c r="G8" s="97">
        <f t="shared" si="3"/>
        <v>466852.84570572368</v>
      </c>
      <c r="H8" s="97">
        <f t="shared" si="3"/>
        <v>534928.61260422668</v>
      </c>
      <c r="I8" s="97">
        <f t="shared" si="3"/>
        <v>608644.82407831587</v>
      </c>
      <c r="J8" s="97">
        <f t="shared" si="3"/>
        <v>688395.33516830334</v>
      </c>
      <c r="K8" s="97">
        <f t="shared" si="3"/>
        <v>774599.28530709352</v>
      </c>
      <c r="L8" s="92"/>
      <c r="M8" s="92"/>
      <c r="N8" s="174" t="s">
        <v>375</v>
      </c>
      <c r="O8" s="174">
        <f>'13.Facility 2 Cleaning &amp; Gradin'!C151</f>
        <v>6000</v>
      </c>
      <c r="P8" s="174" t="e">
        <f>'13.Facility 2 Cleaning &amp; Gradin'!#REF!</f>
        <v>#REF!</v>
      </c>
      <c r="Q8" s="175">
        <f>'13.Facility 2 Cleaning &amp; Gradin'!C152</f>
        <v>5000</v>
      </c>
      <c r="R8" s="174" t="e">
        <f>'13.Facility 2 Cleaning &amp; Gradin'!#REF!</f>
        <v>#REF!</v>
      </c>
      <c r="S8" s="170"/>
      <c r="T8" s="170"/>
      <c r="U8" s="174" t="s">
        <v>376</v>
      </c>
      <c r="V8" s="175">
        <f>'17.Facility 6 Roasted Channa '!C163</f>
        <v>5000</v>
      </c>
    </row>
    <row r="9" spans="3:22" ht="14.25" customHeight="1">
      <c r="C9" s="56" t="str">
        <f t="shared" si="1"/>
        <v>Roasted Channa</v>
      </c>
      <c r="D9" s="56"/>
      <c r="E9" s="56"/>
      <c r="F9" s="97">
        <f t="shared" ref="F9:K9" si="4">E18</f>
        <v>0</v>
      </c>
      <c r="G9" s="97">
        <f t="shared" si="4"/>
        <v>0</v>
      </c>
      <c r="H9" s="97">
        <f t="shared" si="4"/>
        <v>0</v>
      </c>
      <c r="I9" s="97">
        <f t="shared" si="4"/>
        <v>0</v>
      </c>
      <c r="J9" s="97">
        <f t="shared" si="4"/>
        <v>0</v>
      </c>
      <c r="K9" s="97">
        <f t="shared" si="4"/>
        <v>0</v>
      </c>
      <c r="L9" s="92"/>
      <c r="M9" s="92"/>
      <c r="N9" s="174" t="e">
        <f>'13.Facility 2 Cleaning &amp; Gradin'!#REF!</f>
        <v>#REF!</v>
      </c>
      <c r="O9" s="174" t="e">
        <f>('13.Facility 2 Cleaning &amp; Gradin'!#REF!*'13.Facility 2 Cleaning &amp; Gradin'!#REF!/1000)*100</f>
        <v>#REF!</v>
      </c>
      <c r="P9" s="174" t="e">
        <f t="shared" ref="P9:R9" si="5">O9</f>
        <v>#REF!</v>
      </c>
      <c r="Q9" s="174" t="e">
        <f t="shared" si="5"/>
        <v>#REF!</v>
      </c>
      <c r="R9" s="174" t="e">
        <f t="shared" si="5"/>
        <v>#REF!</v>
      </c>
      <c r="S9" s="170"/>
      <c r="T9" s="170"/>
      <c r="U9" s="174" t="str">
        <f>'17.Facility 6 Roasted Channa '!A164</f>
        <v>Other Consumbales</v>
      </c>
      <c r="V9" s="176">
        <f>'17.Facility 6 Roasted Channa '!C164</f>
        <v>2000</v>
      </c>
    </row>
    <row r="10" spans="3:22" ht="14.25" customHeight="1">
      <c r="C10" s="56"/>
      <c r="D10" s="56"/>
      <c r="E10" s="56"/>
      <c r="F10" s="97"/>
      <c r="G10" s="97"/>
      <c r="H10" s="97"/>
      <c r="I10" s="97"/>
      <c r="J10" s="97"/>
      <c r="K10" s="97"/>
      <c r="L10" s="92"/>
      <c r="M10" s="92"/>
      <c r="N10" s="174" t="str">
        <f>'13.Facility 2 Cleaning &amp; Gradin'!A153</f>
        <v xml:space="preserve">Daily Labour </v>
      </c>
      <c r="O10" s="177">
        <f>('13.Facility 2 Cleaning &amp; Gradin'!B153*'13.Facility 2 Cleaning &amp; Gradin'!C153)/('13.Facility 2 Cleaning &amp; Gradin'!B5*'13.Facility 2 Cleaning &amp; Gradin'!B6)</f>
        <v>9.375</v>
      </c>
      <c r="P10" s="177">
        <f t="shared" ref="P10:R10" si="6">O10</f>
        <v>9.375</v>
      </c>
      <c r="Q10" s="177">
        <f t="shared" si="6"/>
        <v>9.375</v>
      </c>
      <c r="R10" s="177">
        <f t="shared" si="6"/>
        <v>9.375</v>
      </c>
      <c r="S10" s="170"/>
      <c r="T10" s="170"/>
      <c r="U10" s="174" t="str">
        <f>'17.Facility 6 Roasted Channa '!A165</f>
        <v xml:space="preserve">Daily Labour </v>
      </c>
      <c r="V10" s="176" t="e">
        <f>'17.Facility 6 Roasted Channa '!B165*'17.Facility 6 Roasted Channa '!C165/('17.Facility 6 Roasted Channa '!B5*'17.Facility 6 Roasted Channa '!B6)</f>
        <v>#DIV/0!</v>
      </c>
    </row>
    <row r="11" spans="3:22" ht="14.25" customHeight="1">
      <c r="C11" s="56"/>
      <c r="D11" s="56"/>
      <c r="E11" s="56"/>
      <c r="F11" s="97"/>
      <c r="G11" s="97"/>
      <c r="H11" s="97"/>
      <c r="I11" s="97"/>
      <c r="J11" s="97"/>
      <c r="K11" s="97"/>
      <c r="L11" s="92"/>
      <c r="M11" s="92"/>
      <c r="N11" s="174" t="str">
        <f>'13.Facility 2 Cleaning &amp; Gradin'!A154</f>
        <v>Electricity Charges</v>
      </c>
      <c r="O11" s="177">
        <f>('13.Facility 2 Cleaning &amp; Gradin'!B154*'13.Facility 2 Cleaning &amp; Gradin'!C154)/('13.Facility 2 Cleaning &amp; Gradin'!B5*'13.Facility 2 Cleaning &amp; Gradin'!B6)</f>
        <v>3.7299999999999995</v>
      </c>
      <c r="P11" s="177">
        <f t="shared" ref="P11:R11" si="7">O11</f>
        <v>3.7299999999999995</v>
      </c>
      <c r="Q11" s="177">
        <f t="shared" si="7"/>
        <v>3.7299999999999995</v>
      </c>
      <c r="R11" s="177">
        <f t="shared" si="7"/>
        <v>3.7299999999999995</v>
      </c>
      <c r="S11" s="170"/>
      <c r="T11" s="170"/>
      <c r="U11" s="174" t="str">
        <f>'17.Facility 6 Roasted Channa '!A166</f>
        <v>Electricity Charges</v>
      </c>
      <c r="V11" s="174" t="e">
        <f>'17.Facility 6 Roasted Channa '!B166*'17.Facility 6 Roasted Channa '!C166/('17.Facility 6 Roasted Channa '!B5*'17.Facility 6 Roasted Channa '!B6)</f>
        <v>#DIV/0!</v>
      </c>
    </row>
    <row r="12" spans="3:22" ht="14.25" customHeight="1">
      <c r="C12" s="56" t="s">
        <v>87</v>
      </c>
      <c r="D12" s="56"/>
      <c r="E12" s="97"/>
      <c r="F12" s="97">
        <f t="shared" ref="F12:K12" si="8">SUM(F6:F11)</f>
        <v>1531055.19286845</v>
      </c>
      <c r="G12" s="97">
        <f t="shared" si="8"/>
        <v>1845232.7830716937</v>
      </c>
      <c r="H12" s="97">
        <f t="shared" si="8"/>
        <v>2187000.494313091</v>
      </c>
      <c r="I12" s="97">
        <f t="shared" si="8"/>
        <v>2558331.8947209483</v>
      </c>
      <c r="J12" s="97">
        <f t="shared" si="8"/>
        <v>2961328.9339338094</v>
      </c>
      <c r="K12" s="97">
        <f t="shared" si="8"/>
        <v>3398229.8473311537</v>
      </c>
      <c r="L12" s="92"/>
      <c r="M12" s="92"/>
      <c r="N12" s="174" t="e">
        <f>'13.Facility 2 Cleaning &amp; Gradin'!#REF!</f>
        <v>#REF!</v>
      </c>
      <c r="O12" s="174" t="e">
        <f>'13.Facility 2 Cleaning &amp; Gradin'!#REF!*2</f>
        <v>#REF!</v>
      </c>
      <c r="P12" s="174" t="e">
        <f t="shared" ref="P12:R12" si="9">O12</f>
        <v>#REF!</v>
      </c>
      <c r="Q12" s="174" t="e">
        <f t="shared" si="9"/>
        <v>#REF!</v>
      </c>
      <c r="R12" s="174" t="e">
        <f t="shared" si="9"/>
        <v>#REF!</v>
      </c>
      <c r="S12" s="170"/>
      <c r="T12" s="170"/>
      <c r="U12" s="174" t="str">
        <f>'17.Facility 6 Roasted Channa '!A167</f>
        <v>Loading/Unloading Charges</v>
      </c>
      <c r="V12" s="174">
        <f>'17.Facility 6 Roasted Channa '!C167</f>
        <v>10</v>
      </c>
    </row>
    <row r="13" spans="3:22" ht="14.25" customHeight="1">
      <c r="C13" s="56"/>
      <c r="D13" s="56"/>
      <c r="E13" s="56"/>
      <c r="F13" s="97"/>
      <c r="G13" s="97"/>
      <c r="H13" s="97"/>
      <c r="I13" s="97"/>
      <c r="J13" s="97"/>
      <c r="K13" s="97"/>
      <c r="L13" s="92"/>
      <c r="M13" s="92"/>
      <c r="N13" s="174" t="str">
        <f>'13.Facility 2 Cleaning &amp; Gradin'!A155</f>
        <v>packaging Exp- Oil Packaging</v>
      </c>
      <c r="O13" s="174">
        <f>'13.Facility 2 Cleaning &amp; Gradin'!C155*2</f>
        <v>60</v>
      </c>
      <c r="P13" s="174">
        <f t="shared" ref="P13:R13" si="10">O13</f>
        <v>60</v>
      </c>
      <c r="Q13" s="174">
        <f t="shared" si="10"/>
        <v>60</v>
      </c>
      <c r="R13" s="174">
        <f t="shared" si="10"/>
        <v>60</v>
      </c>
      <c r="S13" s="170"/>
      <c r="T13" s="170"/>
      <c r="U13" s="174" t="str">
        <f>'17.Facility 6 Roasted Channa '!A168</f>
        <v>packaging Exp</v>
      </c>
      <c r="V13" s="64">
        <f>'17.Facility 6 Roasted Channa '!C168*100</f>
        <v>3000</v>
      </c>
    </row>
    <row r="14" spans="3:22" ht="14.25" customHeight="1">
      <c r="C14" s="98" t="s">
        <v>377</v>
      </c>
      <c r="D14" s="56"/>
      <c r="E14" s="56"/>
      <c r="F14" s="97"/>
      <c r="G14" s="97"/>
      <c r="H14" s="97"/>
      <c r="I14" s="97"/>
      <c r="J14" s="97"/>
      <c r="K14" s="97"/>
      <c r="L14" s="92"/>
      <c r="M14" s="92"/>
      <c r="N14" s="174"/>
      <c r="O14" s="64"/>
      <c r="P14" s="64"/>
      <c r="Q14" s="64"/>
      <c r="R14" s="64"/>
      <c r="S14" s="170"/>
      <c r="T14" s="170"/>
      <c r="U14" s="64"/>
      <c r="V14" s="64"/>
    </row>
    <row r="15" spans="3:22" ht="14.25" hidden="1" customHeight="1">
      <c r="C15" s="56" t="str">
        <f>C6</f>
        <v>Agri Input</v>
      </c>
      <c r="D15" s="178">
        <v>0.05</v>
      </c>
      <c r="E15" s="97">
        <f>SUM('16.Facility 5 Agri Input'!D198:D259)*$D$15</f>
        <v>0</v>
      </c>
      <c r="F15" s="97">
        <f>SUM('16.Facility 5 Agri Input'!E198:E259)*$D$15</f>
        <v>0</v>
      </c>
      <c r="G15" s="97">
        <f>SUM('16.Facility 5 Agri Input'!F198:F259)*$D$15</f>
        <v>0</v>
      </c>
      <c r="H15" s="97">
        <f>SUM('16.Facility 5 Agri Input'!G198:G259)*$D$15</f>
        <v>0</v>
      </c>
      <c r="I15" s="97">
        <f>SUM('16.Facility 5 Agri Input'!H198:H259)*$D$15</f>
        <v>0</v>
      </c>
      <c r="J15" s="97">
        <f>SUM('16.Facility 5 Agri Input'!I198:I259)*$D$15</f>
        <v>0</v>
      </c>
      <c r="K15" s="97">
        <f>SUM('16.Facility 5 Agri Input'!J198:J259)*$D$15</f>
        <v>0</v>
      </c>
      <c r="L15" s="92"/>
      <c r="M15" s="92"/>
      <c r="N15" s="64"/>
      <c r="O15" s="64"/>
      <c r="P15" s="64"/>
      <c r="Q15" s="64"/>
      <c r="R15" s="64"/>
      <c r="U15" s="64"/>
      <c r="V15" s="64"/>
    </row>
    <row r="16" spans="3:22" ht="14.25" customHeight="1">
      <c r="C16" s="56" t="s">
        <v>158</v>
      </c>
      <c r="D16" s="178">
        <v>0.05</v>
      </c>
      <c r="E16" s="97">
        <f>SUM('12.Facility 1 - Flour Mill'!D187:D197)*$D$16</f>
        <v>1127007.6977412</v>
      </c>
      <c r="F16" s="97">
        <f>SUM('12.Facility 1 - Flour Mill'!E187:E197)*$D$16</f>
        <v>1378379.9373659701</v>
      </c>
      <c r="G16" s="97">
        <f>SUM('12.Facility 1 - Flour Mill'!F187:F197)*$D$16</f>
        <v>1652071.8817088641</v>
      </c>
      <c r="H16" s="97">
        <f>SUM('12.Facility 1 - Flour Mill'!G187:G197)*$D$16</f>
        <v>1949687.0706426327</v>
      </c>
      <c r="I16" s="97">
        <f>SUM('12.Facility 1 - Flour Mill'!H187:H197)*$D$16</f>
        <v>2272933.5987655059</v>
      </c>
      <c r="J16" s="97">
        <f>SUM('12.Facility 1 - Flour Mill'!I187:I197)*$D$16</f>
        <v>2623630.5620240602</v>
      </c>
      <c r="K16" s="97">
        <f>SUM('12.Facility 1 - Flour Mill'!J187:J197)*$D$16</f>
        <v>3003714.8876115568</v>
      </c>
      <c r="L16" s="92"/>
      <c r="M16" s="92"/>
      <c r="N16" s="172" t="s">
        <v>378</v>
      </c>
      <c r="O16" s="179" t="e">
        <f t="shared" ref="O16:R16" si="11">SUM(O8:O13)</f>
        <v>#REF!</v>
      </c>
      <c r="P16" s="179" t="e">
        <f t="shared" si="11"/>
        <v>#REF!</v>
      </c>
      <c r="Q16" s="179" t="e">
        <f t="shared" si="11"/>
        <v>#REF!</v>
      </c>
      <c r="R16" s="179" t="e">
        <f t="shared" si="11"/>
        <v>#REF!</v>
      </c>
      <c r="U16" s="172" t="s">
        <v>87</v>
      </c>
      <c r="V16" s="179" t="e">
        <f>SUM(V8:V15)</f>
        <v>#DIV/0!</v>
      </c>
    </row>
    <row r="17" spans="1:18" ht="14.25" customHeight="1">
      <c r="C17" s="56" t="s">
        <v>379</v>
      </c>
      <c r="D17" s="178">
        <v>0.05</v>
      </c>
      <c r="E17" s="97">
        <f>SUM('13.Facility 2 Cleaning &amp; Gradin'!D151:D159)*$D$17</f>
        <v>404047.49512724992</v>
      </c>
      <c r="F17" s="97">
        <f>SUM('13.Facility 2 Cleaning &amp; Gradin'!E151:E159)*$D$17</f>
        <v>466852.84570572368</v>
      </c>
      <c r="G17" s="97">
        <f>SUM('13.Facility 2 Cleaning &amp; Gradin'!F151:F159)*$D$17</f>
        <v>534928.61260422668</v>
      </c>
      <c r="H17" s="97">
        <f>SUM('13.Facility 2 Cleaning &amp; Gradin'!G151:G159)*$D$17</f>
        <v>608644.82407831587</v>
      </c>
      <c r="I17" s="97">
        <f>SUM('13.Facility 2 Cleaning &amp; Gradin'!H151:H159)*$D$17</f>
        <v>688395.33516830334</v>
      </c>
      <c r="J17" s="97">
        <f>SUM('13.Facility 2 Cleaning &amp; Gradin'!I151:I159)*$D$17</f>
        <v>774599.28530709352</v>
      </c>
      <c r="K17" s="97">
        <f>SUM('13.Facility 2 Cleaning &amp; Gradin'!J151:J159)*$D$17</f>
        <v>867702.64212184213</v>
      </c>
      <c r="L17" s="92"/>
      <c r="M17" s="92"/>
    </row>
    <row r="18" spans="1:18" ht="14.25" customHeight="1">
      <c r="C18" s="56" t="s">
        <v>380</v>
      </c>
      <c r="D18" s="178">
        <v>0.05</v>
      </c>
      <c r="E18" s="97">
        <f>SUM('17.Facility 6 Roasted Channa '!D163:D169)*$D$18</f>
        <v>0</v>
      </c>
      <c r="F18" s="97">
        <f>SUM('17.Facility 6 Roasted Channa '!E163:E169)*$D$18</f>
        <v>0</v>
      </c>
      <c r="G18" s="97">
        <f>SUM('17.Facility 6 Roasted Channa '!F163:F169)*$D$18</f>
        <v>0</v>
      </c>
      <c r="H18" s="97">
        <f>SUM('17.Facility 6 Roasted Channa '!G163:G169)*$D$18</f>
        <v>0</v>
      </c>
      <c r="I18" s="97">
        <f>SUM('17.Facility 6 Roasted Channa '!H163:H169)*$D$18</f>
        <v>0</v>
      </c>
      <c r="J18" s="97">
        <f>SUM('17.Facility 6 Roasted Channa '!I163:I169)*$D$18</f>
        <v>0</v>
      </c>
      <c r="K18" s="97">
        <f>SUM('17.Facility 6 Roasted Channa '!J163:J169)*$D$18</f>
        <v>0</v>
      </c>
      <c r="L18" s="92"/>
      <c r="M18" s="92"/>
    </row>
    <row r="19" spans="1:18" ht="14.25" customHeight="1">
      <c r="C19" s="56"/>
      <c r="D19" s="180"/>
      <c r="E19" s="97"/>
      <c r="F19" s="97"/>
      <c r="G19" s="97"/>
      <c r="H19" s="97"/>
      <c r="I19" s="97"/>
      <c r="J19" s="97"/>
      <c r="K19" s="97"/>
      <c r="L19" s="92"/>
      <c r="M19" s="92"/>
    </row>
    <row r="20" spans="1:18" ht="14.25" customHeight="1">
      <c r="C20" s="56"/>
      <c r="D20" s="56"/>
      <c r="E20" s="56"/>
      <c r="F20" s="97"/>
      <c r="G20" s="97"/>
      <c r="H20" s="97"/>
      <c r="I20" s="97"/>
      <c r="J20" s="97"/>
      <c r="K20" s="97"/>
      <c r="L20" s="92"/>
      <c r="M20" s="92"/>
    </row>
    <row r="21" spans="1:18" ht="14.25" customHeight="1">
      <c r="C21" s="56" t="s">
        <v>87</v>
      </c>
      <c r="D21" s="56"/>
      <c r="E21" s="97">
        <f t="shared" ref="E21:K21" si="12">SUM(E15:E20)</f>
        <v>1531055.19286845</v>
      </c>
      <c r="F21" s="97">
        <f t="shared" si="12"/>
        <v>1845232.7830716937</v>
      </c>
      <c r="G21" s="97">
        <f t="shared" si="12"/>
        <v>2187000.494313091</v>
      </c>
      <c r="H21" s="97">
        <f t="shared" si="12"/>
        <v>2558331.8947209483</v>
      </c>
      <c r="I21" s="97">
        <f t="shared" si="12"/>
        <v>2961328.9339338094</v>
      </c>
      <c r="J21" s="97">
        <f t="shared" si="12"/>
        <v>3398229.8473311537</v>
      </c>
      <c r="K21" s="97">
        <f t="shared" si="12"/>
        <v>3871417.5297333989</v>
      </c>
      <c r="L21" s="92"/>
      <c r="M21" s="92"/>
    </row>
    <row r="22" spans="1:18" ht="14.25" customHeight="1">
      <c r="C22" s="92"/>
      <c r="D22" s="92"/>
      <c r="E22" s="158"/>
      <c r="F22" s="158"/>
      <c r="G22" s="158"/>
      <c r="H22" s="158"/>
      <c r="I22" s="158"/>
      <c r="J22" s="158"/>
      <c r="K22" s="158"/>
      <c r="L22" s="92"/>
      <c r="M22" s="92"/>
    </row>
    <row r="23" spans="1:18" ht="14.25" customHeight="1">
      <c r="C23" s="92"/>
      <c r="D23" s="92"/>
      <c r="E23" s="92"/>
      <c r="F23" s="158"/>
      <c r="G23" s="158"/>
      <c r="H23" s="158"/>
      <c r="I23" s="158"/>
      <c r="J23" s="158"/>
      <c r="K23" s="158"/>
      <c r="L23" s="92"/>
      <c r="M23" s="92"/>
    </row>
    <row r="24" spans="1:18" ht="40.5" customHeight="1">
      <c r="A24" s="393" t="s">
        <v>381</v>
      </c>
      <c r="B24" s="360"/>
      <c r="C24" s="360"/>
      <c r="D24" s="360"/>
      <c r="E24" s="360"/>
      <c r="F24" s="360"/>
      <c r="G24" s="360"/>
      <c r="H24" s="360"/>
      <c r="I24" s="360"/>
      <c r="J24" s="360"/>
      <c r="K24" s="360"/>
      <c r="L24" s="181"/>
      <c r="M24" s="181"/>
      <c r="N24" s="181"/>
      <c r="O24" s="63"/>
      <c r="P24" s="63"/>
      <c r="Q24" s="63"/>
      <c r="R24" s="63"/>
    </row>
    <row r="25" spans="1:18" ht="14.25" customHeight="1">
      <c r="A25" t="s">
        <v>361</v>
      </c>
    </row>
    <row r="26" spans="1:18" ht="14.25" customHeight="1">
      <c r="A26">
        <v>1</v>
      </c>
      <c r="B26" t="s">
        <v>382</v>
      </c>
    </row>
    <row r="27" spans="1:18" ht="14.25" customHeight="1"/>
    <row r="28" spans="1:18" ht="14.25" customHeight="1"/>
    <row r="29" spans="1:18" ht="14.25" customHeight="1">
      <c r="B29" s="359" t="s">
        <v>383</v>
      </c>
      <c r="C29" s="360"/>
      <c r="D29" s="360"/>
      <c r="E29" s="360"/>
      <c r="F29" s="360"/>
      <c r="G29" s="360"/>
      <c r="H29" s="360"/>
      <c r="I29" s="360"/>
      <c r="J29" s="360"/>
      <c r="K29" s="360"/>
    </row>
    <row r="30" spans="1:18" ht="14.25" customHeight="1"/>
    <row r="31" spans="1:18" ht="14.25" customHeight="1">
      <c r="B31" s="390" t="s">
        <v>81</v>
      </c>
      <c r="C31" s="390" t="s">
        <v>201</v>
      </c>
      <c r="D31" s="391" t="s">
        <v>384</v>
      </c>
      <c r="E31" s="392" t="s">
        <v>83</v>
      </c>
      <c r="F31" s="386"/>
      <c r="G31" s="386"/>
      <c r="H31" s="386"/>
      <c r="I31" s="386"/>
      <c r="J31" s="386"/>
      <c r="K31" s="387"/>
    </row>
    <row r="32" spans="1:18" ht="14.25" customHeight="1">
      <c r="B32" s="351"/>
      <c r="C32" s="351"/>
      <c r="D32" s="351"/>
      <c r="E32" s="42" t="s">
        <v>204</v>
      </c>
      <c r="F32" s="42" t="s">
        <v>205</v>
      </c>
      <c r="G32" s="42" t="s">
        <v>206</v>
      </c>
      <c r="H32" s="42" t="s">
        <v>207</v>
      </c>
      <c r="I32" s="42" t="s">
        <v>208</v>
      </c>
      <c r="J32" s="42" t="s">
        <v>209</v>
      </c>
      <c r="K32" s="42" t="s">
        <v>210</v>
      </c>
    </row>
    <row r="33" spans="2:11" ht="14.25" customHeight="1">
      <c r="B33" s="182"/>
      <c r="C33" s="183"/>
      <c r="D33" s="183"/>
      <c r="E33" s="184"/>
      <c r="F33" s="184"/>
      <c r="G33" s="184"/>
      <c r="H33" s="184"/>
      <c r="I33" s="184"/>
      <c r="J33" s="184"/>
      <c r="K33" s="184"/>
    </row>
    <row r="34" spans="2:11" ht="14.25" customHeight="1">
      <c r="B34" s="59" t="s">
        <v>19</v>
      </c>
      <c r="C34" s="60" t="s">
        <v>385</v>
      </c>
      <c r="D34" s="84"/>
      <c r="E34" s="185"/>
      <c r="F34" s="185"/>
      <c r="G34" s="185"/>
      <c r="H34" s="185"/>
      <c r="I34" s="185"/>
      <c r="J34" s="185"/>
      <c r="K34" s="185"/>
    </row>
    <row r="35" spans="2:11" ht="14.25" hidden="1" customHeight="1">
      <c r="B35" s="55">
        <v>1</v>
      </c>
      <c r="C35" s="67" t="s">
        <v>368</v>
      </c>
      <c r="D35" s="84">
        <v>14</v>
      </c>
      <c r="E35" s="185">
        <f>('16.Facility 5 Agri Input'!D191/365)*$D$35</f>
        <v>0</v>
      </c>
      <c r="F35" s="185">
        <f>('16.Facility 5 Agri Input'!E191/365)*$D$35</f>
        <v>0</v>
      </c>
      <c r="G35" s="185">
        <f>('16.Facility 5 Agri Input'!F191/365)*$D$35</f>
        <v>0</v>
      </c>
      <c r="H35" s="185">
        <f>('16.Facility 5 Agri Input'!G191/365)*$D$35</f>
        <v>0</v>
      </c>
      <c r="I35" s="185">
        <f>('16.Facility 5 Agri Input'!H191/365)*$D$35</f>
        <v>0</v>
      </c>
      <c r="J35" s="185">
        <f>('16.Facility 5 Agri Input'!I191/365)*$D$35</f>
        <v>0</v>
      </c>
      <c r="K35" s="185">
        <f>('16.Facility 5 Agri Input'!J191/365)*$D$35</f>
        <v>0</v>
      </c>
    </row>
    <row r="36" spans="2:11" ht="14.25" hidden="1" customHeight="1">
      <c r="B36" s="55">
        <v>2</v>
      </c>
      <c r="C36" s="67" t="s">
        <v>386</v>
      </c>
      <c r="D36" s="84">
        <v>14</v>
      </c>
      <c r="E36" s="185">
        <f>('15. Facility 4 Custom Hiring'!E37/365)*$D$36</f>
        <v>0</v>
      </c>
      <c r="F36" s="185">
        <f>('15. Facility 4 Custom Hiring'!F37/365)*$D$36</f>
        <v>0</v>
      </c>
      <c r="G36" s="185">
        <f>('15. Facility 4 Custom Hiring'!G37/365)*$D$36</f>
        <v>0</v>
      </c>
      <c r="H36" s="185">
        <f>('15. Facility 4 Custom Hiring'!H37/365)*$D$36</f>
        <v>0</v>
      </c>
      <c r="I36" s="185">
        <f>('15. Facility 4 Custom Hiring'!I37/365)*$D$36</f>
        <v>0</v>
      </c>
      <c r="J36" s="185">
        <f>('15. Facility 4 Custom Hiring'!J37/365)*$D$36</f>
        <v>0</v>
      </c>
      <c r="K36" s="185">
        <f>('15. Facility 4 Custom Hiring'!K37/365)*$D$36</f>
        <v>0</v>
      </c>
    </row>
    <row r="37" spans="2:11" ht="14.25" customHeight="1">
      <c r="B37" s="55">
        <v>3</v>
      </c>
      <c r="C37" s="67" t="s">
        <v>158</v>
      </c>
      <c r="D37" s="84">
        <v>14</v>
      </c>
      <c r="E37" s="185">
        <f>('12.Facility 1 - Flour Mill'!D183/365)*$D$37</f>
        <v>916944.69400132587</v>
      </c>
      <c r="F37" s="185">
        <f>('12.Facility 1 - Flour Mill'!E183/365)*$D$37</f>
        <v>1173930.5095569605</v>
      </c>
      <c r="G37" s="185">
        <f>('12.Facility 1 - Flour Mill'!F183/365)*$D$37</f>
        <v>1409983.4429534865</v>
      </c>
      <c r="H37" s="185">
        <f>('12.Facility 1 - Flour Mill'!G183/365)*$D$37</f>
        <v>1666706.8434157721</v>
      </c>
      <c r="I37" s="185">
        <f>('12.Facility 1 - Flour Mill'!H183/365)*$D$37</f>
        <v>1945577.625316903</v>
      </c>
      <c r="J37" s="185">
        <f>('12.Facility 1 - Flour Mill'!I183/365)*$D$37</f>
        <v>2248168.7182996073</v>
      </c>
      <c r="K37" s="185">
        <f>('12.Facility 1 - Flour Mill'!J183/365)*$D$37</f>
        <v>2576154.9765172899</v>
      </c>
    </row>
    <row r="38" spans="2:11" ht="14.25" customHeight="1">
      <c r="B38" s="55">
        <v>4</v>
      </c>
      <c r="C38" s="67" t="s">
        <v>379</v>
      </c>
      <c r="D38" s="84">
        <v>14</v>
      </c>
      <c r="E38" s="185">
        <f>('13.Facility 2 Cleaning &amp; Gradin'!D144/365)*$D$38</f>
        <v>971329.07591520518</v>
      </c>
      <c r="F38" s="185">
        <f>('13.Facility 2 Cleaning &amp; Gradin'!E144/365)*$D$38</f>
        <v>1169549.4927063019</v>
      </c>
      <c r="G38" s="185">
        <f>('13.Facility 2 Cleaning &amp; Gradin'!F144/365)*$D$38</f>
        <v>1340829.6613853206</v>
      </c>
      <c r="H38" s="185">
        <f>('13.Facility 2 Cleaning &amp; Gradin'!G144/365)*$D$38</f>
        <v>1526313.9732004753</v>
      </c>
      <c r="I38" s="185">
        <f>('13.Facility 2 Cleaning &amp; Gradin'!H144/365)*$D$38</f>
        <v>1726994.6420436823</v>
      </c>
      <c r="J38" s="185">
        <f>('13.Facility 2 Cleaning &amp; Gradin'!I144/365)*$D$38</f>
        <v>1943927.5928382087</v>
      </c>
      <c r="K38" s="185">
        <f>('13.Facility 2 Cleaning &amp; Gradin'!J144/365)*$D$38</f>
        <v>2178236.3521070788</v>
      </c>
    </row>
    <row r="39" spans="2:11" ht="14.25" customHeight="1">
      <c r="B39" s="55">
        <v>5</v>
      </c>
      <c r="C39" s="67" t="s">
        <v>387</v>
      </c>
      <c r="D39" s="84">
        <v>14</v>
      </c>
      <c r="E39" s="185">
        <f>('14. Facility 3 Warehouse'!D23/365)*$D$39</f>
        <v>44186.301369863009</v>
      </c>
      <c r="F39" s="185">
        <f>('14. Facility 3 Warehouse'!E23/365)*$D$39</f>
        <v>49295.342465753434</v>
      </c>
      <c r="G39" s="185">
        <f>('14. Facility 3 Warehouse'!F23/365)*$D$39</f>
        <v>54804.821917808229</v>
      </c>
      <c r="H39" s="185">
        <f>('14. Facility 3 Warehouse'!G23/365)*$D$39</f>
        <v>60742.010958904139</v>
      </c>
      <c r="I39" s="185">
        <f>('14. Facility 3 Warehouse'!H23/365)*$D$39</f>
        <v>67135.906849315114</v>
      </c>
      <c r="J39" s="185">
        <f>('14. Facility 3 Warehouse'!I23/365)*$D$39</f>
        <v>70492.70219178086</v>
      </c>
      <c r="K39" s="185">
        <f>('14. Facility 3 Warehouse'!J23/365)*$D$39</f>
        <v>74017.337301369917</v>
      </c>
    </row>
    <row r="40" spans="2:11" ht="14.25" hidden="1" customHeight="1">
      <c r="B40" s="55">
        <v>6</v>
      </c>
      <c r="C40" s="67" t="s">
        <v>380</v>
      </c>
      <c r="D40" s="84">
        <v>14</v>
      </c>
      <c r="E40" s="185">
        <f>('17.Facility 6 Roasted Channa '!D159/365)*$D$40</f>
        <v>0</v>
      </c>
      <c r="F40" s="185">
        <f>('17.Facility 6 Roasted Channa '!E159/365)*$D$40</f>
        <v>0</v>
      </c>
      <c r="G40" s="185">
        <f>('17.Facility 6 Roasted Channa '!F159/365)*$D$40</f>
        <v>0</v>
      </c>
      <c r="H40" s="185">
        <f>('17.Facility 6 Roasted Channa '!G159/365)*$D$40</f>
        <v>0</v>
      </c>
      <c r="I40" s="185">
        <f>('17.Facility 6 Roasted Channa '!H159/365)*$D$40</f>
        <v>0</v>
      </c>
      <c r="J40" s="185">
        <f>('17.Facility 6 Roasted Channa '!I159/365)*$D$40</f>
        <v>0</v>
      </c>
      <c r="K40" s="185">
        <f>('17.Facility 6 Roasted Channa '!J159/365)*$D$40</f>
        <v>0</v>
      </c>
    </row>
    <row r="41" spans="2:11" ht="14.25" customHeight="1">
      <c r="B41" s="55"/>
      <c r="C41" s="67"/>
      <c r="D41" s="84"/>
      <c r="E41" s="185"/>
      <c r="F41" s="185"/>
      <c r="G41" s="185"/>
      <c r="H41" s="185"/>
      <c r="I41" s="185"/>
      <c r="J41" s="185"/>
      <c r="K41" s="185"/>
    </row>
    <row r="42" spans="2:11" ht="14.25" customHeight="1">
      <c r="B42" s="59"/>
      <c r="C42" s="60" t="s">
        <v>157</v>
      </c>
      <c r="D42" s="84"/>
      <c r="E42" s="185">
        <f t="shared" ref="E42:K42" si="13">SUM(E35:E41)</f>
        <v>1932460.0712863943</v>
      </c>
      <c r="F42" s="185">
        <f t="shared" si="13"/>
        <v>2392775.3447290156</v>
      </c>
      <c r="G42" s="185">
        <f t="shared" si="13"/>
        <v>2805617.9262566152</v>
      </c>
      <c r="H42" s="185">
        <f t="shared" si="13"/>
        <v>3253762.8275751513</v>
      </c>
      <c r="I42" s="185">
        <f t="shared" si="13"/>
        <v>3739708.1742099002</v>
      </c>
      <c r="J42" s="185">
        <f t="shared" si="13"/>
        <v>4262589.0133295972</v>
      </c>
      <c r="K42" s="185">
        <f t="shared" si="13"/>
        <v>4828408.6659257384</v>
      </c>
    </row>
    <row r="43" spans="2:11" ht="14.25" customHeight="1">
      <c r="B43" s="59" t="s">
        <v>61</v>
      </c>
      <c r="C43" s="60" t="s">
        <v>377</v>
      </c>
      <c r="D43" s="84"/>
      <c r="E43" s="185">
        <f>'5.Closing Stock &amp; W Capital'!E21</f>
        <v>1531055.19286845</v>
      </c>
      <c r="F43" s="185">
        <f>'5.Closing Stock &amp; W Capital'!F21</f>
        <v>1845232.7830716937</v>
      </c>
      <c r="G43" s="185">
        <f>'5.Closing Stock &amp; W Capital'!G21</f>
        <v>2187000.494313091</v>
      </c>
      <c r="H43" s="185">
        <f>'5.Closing Stock &amp; W Capital'!H21</f>
        <v>2558331.8947209483</v>
      </c>
      <c r="I43" s="185">
        <f>'5.Closing Stock &amp; W Capital'!I21</f>
        <v>2961328.9339338094</v>
      </c>
      <c r="J43" s="185">
        <f>'5.Closing Stock &amp; W Capital'!J21</f>
        <v>3398229.8473311537</v>
      </c>
      <c r="K43" s="185">
        <f>'5.Closing Stock &amp; W Capital'!K21</f>
        <v>3871417.5297333989</v>
      </c>
    </row>
    <row r="44" spans="2:11" ht="14.25" customHeight="1">
      <c r="B44" s="59"/>
      <c r="C44" s="67"/>
      <c r="D44" s="84"/>
      <c r="E44" s="185"/>
      <c r="F44" s="185"/>
      <c r="G44" s="185"/>
      <c r="H44" s="185"/>
      <c r="I44" s="185"/>
      <c r="J44" s="185"/>
      <c r="K44" s="185"/>
    </row>
    <row r="45" spans="2:11" ht="14.25" customHeight="1">
      <c r="B45" s="365" t="s">
        <v>87</v>
      </c>
      <c r="C45" s="348"/>
      <c r="D45" s="186"/>
      <c r="E45" s="61">
        <f t="shared" ref="E45:K45" si="14">SUM(E42:E43)</f>
        <v>3463515.264154844</v>
      </c>
      <c r="F45" s="61">
        <f t="shared" si="14"/>
        <v>4238008.1278007096</v>
      </c>
      <c r="G45" s="61">
        <f t="shared" si="14"/>
        <v>4992618.4205697067</v>
      </c>
      <c r="H45" s="61">
        <f t="shared" si="14"/>
        <v>5812094.7222961001</v>
      </c>
      <c r="I45" s="61">
        <f t="shared" si="14"/>
        <v>6701037.1081437096</v>
      </c>
      <c r="J45" s="61">
        <f t="shared" si="14"/>
        <v>7660818.8606607504</v>
      </c>
      <c r="K45" s="61">
        <f t="shared" si="14"/>
        <v>8699826.1956591383</v>
      </c>
    </row>
    <row r="46" spans="2:11" ht="14.25" customHeight="1">
      <c r="B46" s="59"/>
      <c r="C46" s="60"/>
      <c r="D46" s="84"/>
      <c r="E46" s="185"/>
      <c r="F46" s="185"/>
      <c r="G46" s="185"/>
      <c r="H46" s="185"/>
      <c r="I46" s="185"/>
      <c r="J46" s="185"/>
      <c r="K46" s="185"/>
    </row>
    <row r="47" spans="2:11" ht="34.5" customHeight="1">
      <c r="B47" s="59" t="s">
        <v>179</v>
      </c>
      <c r="C47" s="67" t="s">
        <v>388</v>
      </c>
      <c r="D47" s="84"/>
      <c r="E47" s="185"/>
      <c r="F47" s="185"/>
      <c r="G47" s="185"/>
      <c r="H47" s="185"/>
      <c r="I47" s="185"/>
      <c r="J47" s="185"/>
      <c r="K47" s="185"/>
    </row>
    <row r="48" spans="2:11" ht="14.25" hidden="1" customHeight="1">
      <c r="B48" s="55">
        <v>1</v>
      </c>
      <c r="C48" s="67" t="str">
        <f t="shared" ref="C48:C53" si="15">C35</f>
        <v>Agri Input</v>
      </c>
      <c r="D48" s="84">
        <v>7</v>
      </c>
      <c r="E48" s="185">
        <f>(SUM('16.Facility 5 Agri Input'!D198:D259)/365)*$D$48</f>
        <v>0</v>
      </c>
      <c r="F48" s="185">
        <f>(SUM('16.Facility 5 Agri Input'!E198:E259)/365)*$D$48</f>
        <v>0</v>
      </c>
      <c r="G48" s="185">
        <f>(SUM('16.Facility 5 Agri Input'!F198:F259)/365)*$D$48</f>
        <v>0</v>
      </c>
      <c r="H48" s="185">
        <f>(SUM('16.Facility 5 Agri Input'!G198:G259)/365)*$D$48</f>
        <v>0</v>
      </c>
      <c r="I48" s="185">
        <f>(SUM('16.Facility 5 Agri Input'!H198:H259)/365)*$D$48</f>
        <v>0</v>
      </c>
      <c r="J48" s="185">
        <f>(SUM('16.Facility 5 Agri Input'!I198:I259)/365)*$D$48</f>
        <v>0</v>
      </c>
      <c r="K48" s="185">
        <f>(SUM('16.Facility 5 Agri Input'!J198:J259)/365)*$D$48</f>
        <v>0</v>
      </c>
    </row>
    <row r="49" spans="1:12" ht="14.25" hidden="1" customHeight="1">
      <c r="B49" s="55">
        <v>2</v>
      </c>
      <c r="C49" s="67" t="str">
        <f t="shared" si="15"/>
        <v>Custom Hiring</v>
      </c>
      <c r="D49" s="84">
        <v>7</v>
      </c>
      <c r="E49" s="185">
        <f>('15. Facility 4 Custom Hiring'!E47/365)*$D$50</f>
        <v>0</v>
      </c>
      <c r="F49" s="185">
        <f>('15. Facility 4 Custom Hiring'!F47/365)*$D$50</f>
        <v>0</v>
      </c>
      <c r="G49" s="185">
        <f>('15. Facility 4 Custom Hiring'!G47/365)*$D$50</f>
        <v>0</v>
      </c>
      <c r="H49" s="185">
        <f>('15. Facility 4 Custom Hiring'!H47/365)*$D$50</f>
        <v>0</v>
      </c>
      <c r="I49" s="185">
        <f>('15. Facility 4 Custom Hiring'!I47/365)*$D$50</f>
        <v>0</v>
      </c>
      <c r="J49" s="185">
        <f>('15. Facility 4 Custom Hiring'!J47/365)*$D$50</f>
        <v>0</v>
      </c>
      <c r="K49" s="185">
        <f>('15. Facility 4 Custom Hiring'!K47/365)*$D$50</f>
        <v>0</v>
      </c>
    </row>
    <row r="50" spans="1:12" ht="14.25" customHeight="1">
      <c r="B50" s="55">
        <v>3</v>
      </c>
      <c r="C50" s="67" t="str">
        <f t="shared" si="15"/>
        <v>Flour Mill</v>
      </c>
      <c r="D50" s="84">
        <v>7</v>
      </c>
      <c r="E50" s="185">
        <f>(SUM('12.Facility 1 - Flour Mill'!D187:D197)/365)*$D$50</f>
        <v>432276.9251610082</v>
      </c>
      <c r="F50" s="185">
        <f>(SUM('12.Facility 1 - Flour Mill'!E187:E197)/365)*$D$50</f>
        <v>528693.67460612557</v>
      </c>
      <c r="G50" s="185">
        <f>(SUM('12.Facility 1 - Flour Mill'!F187:F197)/365)*$D$50</f>
        <v>633671.40668285207</v>
      </c>
      <c r="H50" s="185">
        <f>(SUM('12.Facility 1 - Flour Mill'!G187:G197)/365)*$D$50</f>
        <v>747825.17778073577</v>
      </c>
      <c r="I50" s="185">
        <f>(SUM('12.Facility 1 - Flour Mill'!H187:H197)/365)*$D$50</f>
        <v>871810.14747170079</v>
      </c>
      <c r="J50" s="185">
        <f>(SUM('12.Facility 1 - Flour Mill'!I187:I197)/365)*$D$50</f>
        <v>1006324.0511873107</v>
      </c>
      <c r="K50" s="185">
        <f>(SUM('12.Facility 1 - Flour Mill'!J187:J197)/365)*$D$50</f>
        <v>1152109.8199058024</v>
      </c>
    </row>
    <row r="51" spans="1:12" ht="14.25" customHeight="1">
      <c r="B51" s="55">
        <v>4</v>
      </c>
      <c r="C51" s="67" t="str">
        <f t="shared" si="15"/>
        <v>Cleaning &amp; Grading</v>
      </c>
      <c r="D51" s="84">
        <v>7</v>
      </c>
      <c r="E51" s="185">
        <f>(SUM('13.Facility 2 Cleaning &amp; Gradin'!D151:D159)/365)*$D$51</f>
        <v>154977.12141867119</v>
      </c>
      <c r="F51" s="185">
        <f>(SUM('13.Facility 2 Cleaning &amp; Gradin'!E151:E159)/365)*$D$51</f>
        <v>179066.84492822277</v>
      </c>
      <c r="G51" s="185">
        <f>(SUM('13.Facility 2 Cleaning &amp; Gradin'!F151:F159)/365)*$D$51</f>
        <v>205178.09798518283</v>
      </c>
      <c r="H51" s="185">
        <f>(SUM('13.Facility 2 Cleaning &amp; Gradin'!G151:G159)/365)*$D$51</f>
        <v>233452.80923551839</v>
      </c>
      <c r="I51" s="185">
        <f>(SUM('13.Facility 2 Cleaning &amp; Gradin'!H151:H159)/365)*$D$51</f>
        <v>264042.04636592459</v>
      </c>
      <c r="J51" s="185">
        <f>(SUM('13.Facility 2 Cleaning &amp; Gradin'!I151:I159)/365)*$D$51</f>
        <v>297106.57518628245</v>
      </c>
      <c r="K51" s="185">
        <f>(SUM('13.Facility 2 Cleaning &amp; Gradin'!J151:J159)/365)*$D$51</f>
        <v>332817.45177276136</v>
      </c>
    </row>
    <row r="52" spans="1:12" ht="14.25" customHeight="1">
      <c r="B52" s="55">
        <v>5</v>
      </c>
      <c r="C52" s="67" t="str">
        <f t="shared" si="15"/>
        <v>Warehouse</v>
      </c>
      <c r="D52" s="84">
        <v>7</v>
      </c>
      <c r="E52" s="185">
        <f>('14. Facility 3 Warehouse'!D34/365)*$D$52</f>
        <v>8035.6164383561636</v>
      </c>
      <c r="F52" s="185">
        <f>('14. Facility 3 Warehouse'!E34/365)*$D$52</f>
        <v>8437.3972602739723</v>
      </c>
      <c r="G52" s="185">
        <f>('14. Facility 3 Warehouse'!F34/365)*$D$52</f>
        <v>8859.267123287671</v>
      </c>
      <c r="H52" s="185">
        <f>('14. Facility 3 Warehouse'!G34/365)*$D$52</f>
        <v>9302.2304794520569</v>
      </c>
      <c r="I52" s="185">
        <f>('14. Facility 3 Warehouse'!H34/365)*$D$52</f>
        <v>9767.3420034246574</v>
      </c>
      <c r="J52" s="185">
        <f>('14. Facility 3 Warehouse'!I34/365)*$D$52</f>
        <v>10255.709103595893</v>
      </c>
      <c r="K52" s="185">
        <f>('14. Facility 3 Warehouse'!J34/365)*$D$52</f>
        <v>10768.494558775687</v>
      </c>
    </row>
    <row r="53" spans="1:12" ht="14.25" hidden="1" customHeight="1">
      <c r="B53" s="55">
        <v>6</v>
      </c>
      <c r="C53" s="67" t="str">
        <f t="shared" si="15"/>
        <v>Roasted Channa</v>
      </c>
      <c r="D53" s="84">
        <v>7</v>
      </c>
      <c r="E53" s="185">
        <f>('17.Facility 6 Roasted Channa '!D177/365)*$D$53</f>
        <v>0</v>
      </c>
      <c r="F53" s="185">
        <f>('17.Facility 6 Roasted Channa '!E177/365)*$D$53</f>
        <v>0</v>
      </c>
      <c r="G53" s="185">
        <f>('17.Facility 6 Roasted Channa '!F177/365)*$D$53</f>
        <v>0</v>
      </c>
      <c r="H53" s="185">
        <f>('17.Facility 6 Roasted Channa '!G177/365)*$D$53</f>
        <v>0</v>
      </c>
      <c r="I53" s="185">
        <f>('17.Facility 6 Roasted Channa '!H177/365)*$D$53</f>
        <v>0</v>
      </c>
      <c r="J53" s="185">
        <f>('17.Facility 6 Roasted Channa '!I177/365)*$D$53</f>
        <v>0</v>
      </c>
      <c r="K53" s="185"/>
    </row>
    <row r="54" spans="1:12" ht="14.25" customHeight="1">
      <c r="B54" s="55"/>
      <c r="C54" s="67"/>
      <c r="D54" s="84"/>
      <c r="E54" s="185"/>
      <c r="F54" s="185"/>
      <c r="G54" s="185"/>
      <c r="H54" s="185"/>
      <c r="I54" s="185"/>
      <c r="J54" s="185"/>
      <c r="K54" s="185"/>
    </row>
    <row r="55" spans="1:12" ht="14.25" customHeight="1">
      <c r="B55" s="187"/>
      <c r="C55" s="60" t="s">
        <v>87</v>
      </c>
      <c r="D55" s="84"/>
      <c r="E55" s="61">
        <f t="shared" ref="E55:K55" si="16">SUM(E48:E54)</f>
        <v>595289.66301803547</v>
      </c>
      <c r="F55" s="61">
        <f t="shared" si="16"/>
        <v>716197.9167946222</v>
      </c>
      <c r="G55" s="61">
        <f t="shared" si="16"/>
        <v>847708.77179132251</v>
      </c>
      <c r="H55" s="61">
        <f t="shared" si="16"/>
        <v>990580.21749570617</v>
      </c>
      <c r="I55" s="61">
        <f t="shared" si="16"/>
        <v>1145619.5358410501</v>
      </c>
      <c r="J55" s="61">
        <f t="shared" si="16"/>
        <v>1313686.3354771892</v>
      </c>
      <c r="K55" s="61">
        <f t="shared" si="16"/>
        <v>1495695.7662373395</v>
      </c>
    </row>
    <row r="56" spans="1:12" ht="14.25" customHeight="1">
      <c r="B56" s="59" t="s">
        <v>182</v>
      </c>
      <c r="C56" s="60" t="s">
        <v>86</v>
      </c>
      <c r="D56" s="84"/>
      <c r="E56" s="61">
        <f t="shared" ref="E56:K56" si="17">E45-E55</f>
        <v>2868225.6011368083</v>
      </c>
      <c r="F56" s="61">
        <f t="shared" si="17"/>
        <v>3521810.2110060873</v>
      </c>
      <c r="G56" s="61">
        <f t="shared" si="17"/>
        <v>4144909.6487783841</v>
      </c>
      <c r="H56" s="61">
        <f t="shared" si="17"/>
        <v>4821514.5048003942</v>
      </c>
      <c r="I56" s="61">
        <f t="shared" si="17"/>
        <v>5555417.57230266</v>
      </c>
      <c r="J56" s="61">
        <f t="shared" si="17"/>
        <v>6347132.5251835613</v>
      </c>
      <c r="K56" s="61">
        <f t="shared" si="17"/>
        <v>7204130.4294217993</v>
      </c>
    </row>
    <row r="57" spans="1:12" ht="14.25" customHeight="1">
      <c r="B57" s="59"/>
      <c r="C57" s="60" t="s">
        <v>389</v>
      </c>
      <c r="D57" s="188">
        <v>0.25</v>
      </c>
      <c r="E57" s="61">
        <f>E56*$D$57</f>
        <v>717056.40028420207</v>
      </c>
      <c r="F57" s="61"/>
      <c r="G57" s="61"/>
      <c r="H57" s="61"/>
      <c r="I57" s="61"/>
      <c r="J57" s="61"/>
      <c r="K57" s="61"/>
    </row>
    <row r="58" spans="1:12" ht="14.25" customHeight="1"/>
    <row r="59" spans="1:12" ht="14.25" customHeight="1">
      <c r="E59" s="20"/>
    </row>
    <row r="60" spans="1:12" ht="36.75" customHeight="1">
      <c r="A60" s="389" t="s">
        <v>390</v>
      </c>
      <c r="B60" s="360"/>
      <c r="C60" s="360"/>
      <c r="D60" s="360"/>
      <c r="E60" s="360"/>
      <c r="F60" s="360"/>
      <c r="G60" s="360"/>
      <c r="H60" s="360"/>
      <c r="I60" s="360"/>
      <c r="J60" s="360"/>
      <c r="K60" s="360"/>
      <c r="L60" s="360"/>
    </row>
    <row r="61" spans="1:12" ht="14.25" customHeight="1">
      <c r="A61" t="s">
        <v>391</v>
      </c>
    </row>
    <row r="62" spans="1:12" ht="14.25" customHeight="1">
      <c r="A62">
        <v>1</v>
      </c>
      <c r="B62" t="s">
        <v>392</v>
      </c>
    </row>
    <row r="63" spans="1:12" ht="14.25" customHeight="1">
      <c r="A63">
        <v>2</v>
      </c>
      <c r="B63" t="s">
        <v>393</v>
      </c>
    </row>
    <row r="64" spans="1:12" ht="14.25" customHeight="1">
      <c r="A64">
        <v>3</v>
      </c>
      <c r="B64" t="s">
        <v>394</v>
      </c>
    </row>
    <row r="65" spans="5:11" ht="14.25" customHeight="1"/>
    <row r="66" spans="5:11" ht="14.25" customHeight="1"/>
    <row r="67" spans="5:11" ht="14.25" customHeight="1">
      <c r="E67" s="20"/>
      <c r="F67" s="27"/>
      <c r="G67" s="27"/>
      <c r="H67" s="27"/>
      <c r="I67" s="27"/>
      <c r="J67" s="27"/>
      <c r="K67" s="27"/>
    </row>
    <row r="68" spans="5:11" ht="14.25" customHeight="1">
      <c r="E68" s="27"/>
      <c r="G68" s="27"/>
      <c r="H68" s="27"/>
      <c r="I68" s="27"/>
      <c r="J68" s="27"/>
      <c r="K68" s="27"/>
    </row>
    <row r="69" spans="5:11" ht="14.25" customHeight="1">
      <c r="E69" s="27"/>
      <c r="I69" s="27"/>
      <c r="J69" s="27"/>
      <c r="K69" s="27"/>
    </row>
    <row r="70" spans="5:11" ht="14.25" customHeight="1">
      <c r="E70" s="20"/>
    </row>
    <row r="71" spans="5:11" ht="14.25" customHeight="1">
      <c r="E71" s="20"/>
      <c r="F71" s="20"/>
      <c r="G71" s="20"/>
      <c r="H71" s="20"/>
    </row>
    <row r="72" spans="5:11" ht="14.25" customHeight="1"/>
    <row r="73" spans="5:11" ht="14.25" customHeight="1"/>
    <row r="74" spans="5:11" ht="14.25" customHeight="1"/>
    <row r="75" spans="5:11" ht="14.25" customHeight="1"/>
    <row r="76" spans="5:11" ht="14.25" customHeight="1"/>
    <row r="77" spans="5:11" ht="14.25" customHeight="1"/>
    <row r="78" spans="5:11" ht="14.25" customHeight="1"/>
    <row r="79" spans="5:11" ht="14.25" customHeight="1"/>
    <row r="80" spans="5:11"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3">
    <mergeCell ref="A24:K24"/>
    <mergeCell ref="A60:L60"/>
    <mergeCell ref="B29:K29"/>
    <mergeCell ref="B31:B32"/>
    <mergeCell ref="C31:C32"/>
    <mergeCell ref="B45:C45"/>
    <mergeCell ref="D31:D32"/>
    <mergeCell ref="E31:K31"/>
    <mergeCell ref="N6:R6"/>
    <mergeCell ref="U5:V5"/>
    <mergeCell ref="U6:V6"/>
    <mergeCell ref="C2:K2"/>
    <mergeCell ref="N5:R5"/>
  </mergeCells>
  <pageMargins left="0.7" right="0.7" top="0.75" bottom="0.75" header="0" footer="0"/>
  <pageSetup paperSize="9" scale="5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00"/>
  <sheetViews>
    <sheetView workbookViewId="0">
      <selection activeCell="H41" sqref="H41"/>
    </sheetView>
  </sheetViews>
  <sheetFormatPr defaultColWidth="14.42578125" defaultRowHeight="15" customHeight="1"/>
  <cols>
    <col min="1" max="1" width="40.5703125" customWidth="1"/>
    <col min="2" max="5" width="13.42578125" customWidth="1"/>
    <col min="6" max="8" width="13.140625" customWidth="1"/>
    <col min="9" max="9" width="8.5703125" customWidth="1"/>
    <col min="10" max="15" width="11.7109375" customWidth="1"/>
    <col min="16" max="16" width="12.28515625" customWidth="1"/>
  </cols>
  <sheetData>
    <row r="1" spans="1:16" ht="14.25" customHeight="1"/>
    <row r="2" spans="1:16" ht="14.25" customHeight="1">
      <c r="A2" s="359" t="s">
        <v>395</v>
      </c>
      <c r="B2" s="360"/>
      <c r="C2" s="360"/>
      <c r="D2" s="360"/>
      <c r="E2" s="360"/>
      <c r="F2" s="360"/>
      <c r="G2" s="360"/>
      <c r="H2" s="360"/>
    </row>
    <row r="3" spans="1:16" ht="14.25" customHeight="1"/>
    <row r="4" spans="1:16" ht="14.25" customHeight="1">
      <c r="B4" s="189"/>
      <c r="C4" s="189"/>
      <c r="D4" s="189"/>
      <c r="E4" s="189"/>
      <c r="F4" s="189"/>
    </row>
    <row r="5" spans="1:16" ht="14.25" customHeight="1">
      <c r="A5" s="95" t="s">
        <v>201</v>
      </c>
      <c r="B5" s="96" t="s">
        <v>204</v>
      </c>
      <c r="C5" s="96" t="s">
        <v>205</v>
      </c>
      <c r="D5" s="96" t="s">
        <v>206</v>
      </c>
      <c r="E5" s="96" t="s">
        <v>207</v>
      </c>
      <c r="F5" s="96" t="s">
        <v>208</v>
      </c>
      <c r="G5" s="96" t="s">
        <v>209</v>
      </c>
      <c r="H5" s="96" t="s">
        <v>210</v>
      </c>
    </row>
    <row r="6" spans="1:16" ht="14.25" customHeight="1">
      <c r="A6" s="98" t="s">
        <v>396</v>
      </c>
      <c r="B6" s="56"/>
      <c r="C6" s="56"/>
      <c r="D6" s="56"/>
      <c r="E6" s="56"/>
      <c r="F6" s="56"/>
      <c r="G6" s="56"/>
      <c r="H6" s="56"/>
    </row>
    <row r="7" spans="1:16" ht="14.25" customHeight="1">
      <c r="A7" s="56"/>
      <c r="B7" s="56"/>
      <c r="C7" s="56"/>
      <c r="D7" s="56"/>
      <c r="E7" s="56"/>
      <c r="F7" s="56"/>
      <c r="G7" s="56"/>
      <c r="H7" s="56"/>
    </row>
    <row r="8" spans="1:16" ht="14.25" customHeight="1">
      <c r="A8" s="56" t="s">
        <v>397</v>
      </c>
      <c r="B8" s="97">
        <f>'12.Facility 1 - Flour Mill'!D183</f>
        <v>23906058.093605995</v>
      </c>
      <c r="C8" s="97">
        <f>'12.Facility 1 - Flour Mill'!E183</f>
        <v>30606045.427735046</v>
      </c>
      <c r="D8" s="97">
        <f>'12.Facility 1 - Flour Mill'!F183</f>
        <v>36760282.619858757</v>
      </c>
      <c r="E8" s="97">
        <f>'12.Facility 1 - Flour Mill'!G183</f>
        <v>43453428.417625487</v>
      </c>
      <c r="F8" s="97">
        <f>'12.Facility 1 - Flour Mill'!H183</f>
        <v>50723988.088619255</v>
      </c>
      <c r="G8" s="97">
        <f>'12.Facility 1 - Flour Mill'!I183</f>
        <v>58612970.155668333</v>
      </c>
      <c r="H8" s="97">
        <f>'12.Facility 1 - Flour Mill'!J183</f>
        <v>67164040.45920077</v>
      </c>
      <c r="J8" s="27"/>
      <c r="K8" s="27"/>
      <c r="L8" s="27"/>
      <c r="M8" s="27"/>
      <c r="N8" s="27"/>
      <c r="O8" s="27"/>
      <c r="P8" s="27"/>
    </row>
    <row r="9" spans="1:16" ht="14.25" customHeight="1">
      <c r="A9" s="56" t="s">
        <v>398</v>
      </c>
      <c r="B9" s="97">
        <f>'13.Facility 2 Cleaning &amp; Gradin'!D144</f>
        <v>25323936.622074995</v>
      </c>
      <c r="C9" s="97">
        <f>'13.Facility 2 Cleaning &amp; Gradin'!E144</f>
        <v>30491826.05984287</v>
      </c>
      <c r="D9" s="97">
        <f>'13.Facility 2 Cleaning &amp; Gradin'!F144</f>
        <v>34957344.743260145</v>
      </c>
      <c r="E9" s="97">
        <f>'13.Facility 2 Cleaning &amp; Gradin'!G144</f>
        <v>39793185.729869537</v>
      </c>
      <c r="F9" s="97">
        <f>'13.Facility 2 Cleaning &amp; Gradin'!H144</f>
        <v>45025217.453281716</v>
      </c>
      <c r="G9" s="97">
        <f>'13.Facility 2 Cleaning &amp; Gradin'!I144</f>
        <v>50680969.384710439</v>
      </c>
      <c r="H9" s="97">
        <f>'13.Facility 2 Cleaning &amp; Gradin'!J144</f>
        <v>56789733.465648837</v>
      </c>
      <c r="J9" s="27"/>
      <c r="K9" s="27"/>
      <c r="L9" s="27"/>
      <c r="M9" s="27"/>
      <c r="N9" s="27"/>
      <c r="O9" s="27"/>
    </row>
    <row r="10" spans="1:16" ht="14.25" customHeight="1">
      <c r="A10" s="56" t="s">
        <v>399</v>
      </c>
      <c r="B10" s="97">
        <f>'14. Facility 3 Warehouse'!D23</f>
        <v>1152000</v>
      </c>
      <c r="C10" s="97">
        <f>'14. Facility 3 Warehouse'!E23</f>
        <v>1285200.0000000002</v>
      </c>
      <c r="D10" s="97">
        <f>'14. Facility 3 Warehouse'!F23</f>
        <v>1428840.0000000002</v>
      </c>
      <c r="E10" s="97">
        <f>'14. Facility 3 Warehouse'!G23</f>
        <v>1583631.0000000007</v>
      </c>
      <c r="F10" s="97">
        <f>'14. Facility 3 Warehouse'!H23</f>
        <v>1750329.0000000009</v>
      </c>
      <c r="G10" s="97">
        <f>'14. Facility 3 Warehouse'!I23</f>
        <v>1837845.4500000011</v>
      </c>
      <c r="H10" s="97">
        <f>'14. Facility 3 Warehouse'!J23</f>
        <v>1929737.7225000013</v>
      </c>
      <c r="J10" s="27"/>
      <c r="K10" s="27"/>
      <c r="L10" s="27"/>
      <c r="M10" s="27"/>
      <c r="N10" s="27"/>
      <c r="O10" s="27"/>
    </row>
    <row r="11" spans="1:16" ht="14.25" hidden="1" customHeight="1">
      <c r="A11" s="56" t="s">
        <v>400</v>
      </c>
      <c r="B11" s="97">
        <f>'15. Facility 4 Custom Hiring'!E37</f>
        <v>0</v>
      </c>
      <c r="C11" s="97">
        <f>'15. Facility 4 Custom Hiring'!F37</f>
        <v>0</v>
      </c>
      <c r="D11" s="97">
        <f>'15. Facility 4 Custom Hiring'!G37</f>
        <v>0</v>
      </c>
      <c r="E11" s="97">
        <f>'15. Facility 4 Custom Hiring'!H37</f>
        <v>0</v>
      </c>
      <c r="F11" s="97">
        <f>'15. Facility 4 Custom Hiring'!I37</f>
        <v>0</v>
      </c>
      <c r="G11" s="97">
        <f>'15. Facility 4 Custom Hiring'!J37</f>
        <v>0</v>
      </c>
      <c r="H11" s="97">
        <f>'15. Facility 4 Custom Hiring'!K37</f>
        <v>0</v>
      </c>
      <c r="J11" s="27"/>
      <c r="K11" s="27"/>
      <c r="L11" s="27"/>
      <c r="M11" s="27"/>
      <c r="N11" s="27"/>
      <c r="O11" s="27"/>
    </row>
    <row r="12" spans="1:16" ht="14.25" hidden="1" customHeight="1">
      <c r="A12" s="56" t="s">
        <v>401</v>
      </c>
      <c r="B12" s="97">
        <f>'16.Facility 5 Agri Input'!D191</f>
        <v>0</v>
      </c>
      <c r="C12" s="97">
        <f>'16.Facility 5 Agri Input'!E191</f>
        <v>0</v>
      </c>
      <c r="D12" s="97">
        <f>'16.Facility 5 Agri Input'!F191</f>
        <v>0</v>
      </c>
      <c r="E12" s="97">
        <f>'16.Facility 5 Agri Input'!G191</f>
        <v>0</v>
      </c>
      <c r="F12" s="97">
        <f>'16.Facility 5 Agri Input'!H191</f>
        <v>0</v>
      </c>
      <c r="G12" s="97">
        <f>'16.Facility 5 Agri Input'!I191</f>
        <v>0</v>
      </c>
      <c r="H12" s="97">
        <f>'16.Facility 5 Agri Input'!J191</f>
        <v>0</v>
      </c>
      <c r="J12" s="27"/>
      <c r="K12" s="27"/>
      <c r="L12" s="27"/>
      <c r="M12" s="27"/>
      <c r="N12" s="27"/>
      <c r="O12" s="27"/>
    </row>
    <row r="13" spans="1:16" ht="14.25" hidden="1" customHeight="1">
      <c r="A13" s="56" t="s">
        <v>402</v>
      </c>
      <c r="B13" s="97">
        <f>'17.Facility 6 Roasted Channa '!D159</f>
        <v>0</v>
      </c>
      <c r="C13" s="97">
        <f>'17.Facility 6 Roasted Channa '!E159</f>
        <v>0</v>
      </c>
      <c r="D13" s="97">
        <f>'17.Facility 6 Roasted Channa '!F159</f>
        <v>0</v>
      </c>
      <c r="E13" s="97">
        <f>'17.Facility 6 Roasted Channa '!G159</f>
        <v>0</v>
      </c>
      <c r="F13" s="97">
        <f>'17.Facility 6 Roasted Channa '!H159</f>
        <v>0</v>
      </c>
      <c r="G13" s="97">
        <f>'17.Facility 6 Roasted Channa '!I159</f>
        <v>0</v>
      </c>
      <c r="H13" s="97">
        <f>'17.Facility 6 Roasted Channa '!J159</f>
        <v>0</v>
      </c>
      <c r="J13" s="27"/>
      <c r="K13" s="27"/>
      <c r="L13" s="27"/>
      <c r="M13" s="27"/>
      <c r="N13" s="27"/>
      <c r="O13" s="27"/>
    </row>
    <row r="14" spans="1:16" ht="14.25" customHeight="1">
      <c r="A14" s="56"/>
      <c r="B14" s="97"/>
      <c r="C14" s="97"/>
      <c r="D14" s="97"/>
      <c r="E14" s="97"/>
      <c r="F14" s="97"/>
      <c r="G14" s="97"/>
      <c r="H14" s="97"/>
      <c r="J14" s="27"/>
    </row>
    <row r="15" spans="1:16" ht="14.25" customHeight="1">
      <c r="A15" s="98" t="s">
        <v>403</v>
      </c>
      <c r="B15" s="99">
        <f t="shared" ref="B15:H15" si="0">SUM(B8:B14)</f>
        <v>50381994.715680987</v>
      </c>
      <c r="C15" s="99">
        <f t="shared" si="0"/>
        <v>62383071.487577915</v>
      </c>
      <c r="D15" s="99">
        <f t="shared" si="0"/>
        <v>73146467.363118902</v>
      </c>
      <c r="E15" s="99">
        <f t="shared" si="0"/>
        <v>84830245.147495031</v>
      </c>
      <c r="F15" s="99">
        <f t="shared" si="0"/>
        <v>97499534.541900963</v>
      </c>
      <c r="G15" s="99">
        <f t="shared" si="0"/>
        <v>111131784.99037878</v>
      </c>
      <c r="H15" s="99">
        <f>SUM(H8:H14)</f>
        <v>125883511.6473496</v>
      </c>
    </row>
    <row r="16" spans="1:16" ht="14.25" customHeight="1">
      <c r="A16" s="56"/>
      <c r="B16" s="97"/>
      <c r="C16" s="97"/>
      <c r="D16" s="97"/>
      <c r="E16" s="97"/>
      <c r="F16" s="97"/>
      <c r="G16" s="97"/>
      <c r="H16" s="97"/>
    </row>
    <row r="17" spans="1:10" ht="14.25" customHeight="1">
      <c r="A17" s="98" t="s">
        <v>404</v>
      </c>
      <c r="B17" s="97"/>
      <c r="C17" s="97"/>
      <c r="D17" s="97"/>
      <c r="E17" s="97"/>
      <c r="F17" s="97"/>
      <c r="G17" s="97"/>
      <c r="H17" s="97"/>
    </row>
    <row r="18" spans="1:10" ht="14.25" customHeight="1">
      <c r="A18" s="56" t="str">
        <f t="shared" ref="A18:A23" si="1">A8</f>
        <v>Activity 1 - Flour Mill</v>
      </c>
      <c r="B18" s="97">
        <f>'12.Facility 1 - Flour Mill'!D201</f>
        <v>21413146.257082801</v>
      </c>
      <c r="C18" s="97">
        <f>'12.Facility 1 - Flour Mill'!E201</f>
        <v>27316226.507694628</v>
      </c>
      <c r="D18" s="97">
        <f>'12.Facility 1 - Flour Mill'!F201</f>
        <v>32767745.68983439</v>
      </c>
      <c r="E18" s="97">
        <f>'12.Facility 1 - Flour Mill'!G201</f>
        <v>38696126.223918885</v>
      </c>
      <c r="F18" s="97">
        <f>'12.Facility 1 - Flour Mill'!H201</f>
        <v>45135425.447187245</v>
      </c>
      <c r="G18" s="97">
        <f>'12.Facility 1 - Flour Mill'!I201</f>
        <v>52121914.277222648</v>
      </c>
      <c r="H18" s="97">
        <f>'12.Facility 1 - Flour Mill'!J201</f>
        <v>59694213.426643625</v>
      </c>
    </row>
    <row r="19" spans="1:10" ht="14.25" customHeight="1">
      <c r="A19" s="56" t="str">
        <f t="shared" si="1"/>
        <v>Activity 2 - Cleaning &amp; Grading Unit</v>
      </c>
      <c r="B19" s="97">
        <f>'13.Facility 2 Cleaning &amp; Gradin'!D163</f>
        <v>22447378.907417741</v>
      </c>
      <c r="C19" s="97">
        <f>'13.Facility 2 Cleaning &amp; Gradin'!E163</f>
        <v>26334151.921036001</v>
      </c>
      <c r="D19" s="97">
        <f>'13.Facility 2 Cleaning &amp; Gradin'!F163</f>
        <v>30171836.894686028</v>
      </c>
      <c r="E19" s="97">
        <f>'13.Facility 2 Cleaning &amp; Gradin'!G163</f>
        <v>34327454.98589848</v>
      </c>
      <c r="F19" s="97">
        <f>'13.Facility 2 Cleaning &amp; Gradin'!H163</f>
        <v>38823205.293995447</v>
      </c>
      <c r="G19" s="97">
        <f>'13.Facility 2 Cleaning &amp; Gradin'!I163</f>
        <v>43682711.995437391</v>
      </c>
      <c r="H19" s="97">
        <f>'13.Facility 2 Cleaning &amp; Gradin'!J163</f>
        <v>48931111.353788517</v>
      </c>
    </row>
    <row r="20" spans="1:10" ht="14.25" customHeight="1">
      <c r="A20" s="56" t="str">
        <f t="shared" si="1"/>
        <v>Faclitiy 3 - Warehouse</v>
      </c>
      <c r="B20" s="97">
        <f>'14. Facility 3 Warehouse'!D34</f>
        <v>419000</v>
      </c>
      <c r="C20" s="97">
        <f>'14. Facility 3 Warehouse'!E34</f>
        <v>439950</v>
      </c>
      <c r="D20" s="97">
        <f>'14. Facility 3 Warehouse'!F34</f>
        <v>461947.5</v>
      </c>
      <c r="E20" s="97">
        <f>'14. Facility 3 Warehouse'!G34</f>
        <v>485044.87500000006</v>
      </c>
      <c r="F20" s="97">
        <f>'14. Facility 3 Warehouse'!H34</f>
        <v>509297.11875000002</v>
      </c>
      <c r="G20" s="97">
        <f>'14. Facility 3 Warehouse'!I34</f>
        <v>534761.97468750016</v>
      </c>
      <c r="H20" s="97">
        <f>'14. Facility 3 Warehouse'!J34</f>
        <v>561500.07342187513</v>
      </c>
    </row>
    <row r="21" spans="1:10" ht="14.25" hidden="1" customHeight="1">
      <c r="A21" s="56" t="str">
        <f t="shared" si="1"/>
        <v xml:space="preserve">Faclitiy 4 - Custom Hiring </v>
      </c>
      <c r="B21" s="97">
        <f>'15. Facility 4 Custom Hiring'!E47</f>
        <v>0</v>
      </c>
      <c r="C21" s="97">
        <f>'15. Facility 4 Custom Hiring'!F47</f>
        <v>0</v>
      </c>
      <c r="D21" s="97">
        <f>'15. Facility 4 Custom Hiring'!G47</f>
        <v>0</v>
      </c>
      <c r="E21" s="97">
        <f>'15. Facility 4 Custom Hiring'!H47</f>
        <v>0</v>
      </c>
      <c r="F21" s="97">
        <f>'15. Facility 4 Custom Hiring'!I47</f>
        <v>0</v>
      </c>
      <c r="G21" s="97">
        <f>'15. Facility 4 Custom Hiring'!J47</f>
        <v>0</v>
      </c>
      <c r="H21" s="97">
        <f>'15. Facility 4 Custom Hiring'!K47</f>
        <v>0</v>
      </c>
    </row>
    <row r="22" spans="1:10" ht="14.25" hidden="1" customHeight="1">
      <c r="A22" s="56" t="str">
        <f t="shared" si="1"/>
        <v>Faclitiy 5 - Agri Input Centre</v>
      </c>
      <c r="B22" s="97">
        <f>'16.Facility 5 Agri Input'!D263</f>
        <v>0</v>
      </c>
      <c r="C22" s="97">
        <f>'16.Facility 5 Agri Input'!E263</f>
        <v>0</v>
      </c>
      <c r="D22" s="97">
        <f>'16.Facility 5 Agri Input'!F263</f>
        <v>0</v>
      </c>
      <c r="E22" s="97">
        <f>'16.Facility 5 Agri Input'!G263</f>
        <v>0</v>
      </c>
      <c r="F22" s="97">
        <f>'16.Facility 5 Agri Input'!H263</f>
        <v>0</v>
      </c>
      <c r="G22" s="97">
        <f>'16.Facility 5 Agri Input'!I263</f>
        <v>0</v>
      </c>
      <c r="H22" s="97">
        <f>'16.Facility 5 Agri Input'!J263</f>
        <v>0</v>
      </c>
    </row>
    <row r="23" spans="1:10" ht="14.25" hidden="1" customHeight="1">
      <c r="A23" s="56" t="str">
        <f t="shared" si="1"/>
        <v>Facility 4 - Roasted Channa</v>
      </c>
      <c r="B23" s="97">
        <f>'17.Facility 6 Roasted Channa '!D177</f>
        <v>0</v>
      </c>
      <c r="C23" s="97">
        <f>'17.Facility 6 Roasted Channa '!E177</f>
        <v>0</v>
      </c>
      <c r="D23" s="97">
        <f>'17.Facility 6 Roasted Channa '!F177</f>
        <v>0</v>
      </c>
      <c r="E23" s="97">
        <f>'17.Facility 6 Roasted Channa '!G177</f>
        <v>0</v>
      </c>
      <c r="F23" s="97">
        <f>'17.Facility 6 Roasted Channa '!H177</f>
        <v>0</v>
      </c>
      <c r="G23" s="97">
        <f>'17.Facility 6 Roasted Channa '!I177</f>
        <v>0</v>
      </c>
      <c r="H23" s="97">
        <f>'17.Facility 6 Roasted Channa '!J177</f>
        <v>0</v>
      </c>
    </row>
    <row r="24" spans="1:10" ht="14.25" customHeight="1">
      <c r="A24" s="56"/>
      <c r="B24" s="97"/>
      <c r="C24" s="97"/>
      <c r="D24" s="97"/>
      <c r="E24" s="97"/>
      <c r="F24" s="97"/>
      <c r="G24" s="97"/>
      <c r="H24" s="97"/>
    </row>
    <row r="25" spans="1:10" ht="14.25" customHeight="1">
      <c r="A25" s="98" t="s">
        <v>405</v>
      </c>
      <c r="B25" s="99">
        <f t="shared" ref="B25:H25" si="2">SUM(B18:B24)</f>
        <v>44279525.164500542</v>
      </c>
      <c r="C25" s="99">
        <f t="shared" si="2"/>
        <v>54090328.428730629</v>
      </c>
      <c r="D25" s="99">
        <f t="shared" si="2"/>
        <v>63401530.084520414</v>
      </c>
      <c r="E25" s="99">
        <f t="shared" si="2"/>
        <v>73508626.084817365</v>
      </c>
      <c r="F25" s="99">
        <f t="shared" si="2"/>
        <v>84467927.859932691</v>
      </c>
      <c r="G25" s="99">
        <f t="shared" si="2"/>
        <v>96339388.247347549</v>
      </c>
      <c r="H25" s="99">
        <f>SUM(H18:H24)</f>
        <v>109186824.85385402</v>
      </c>
      <c r="J25" s="20"/>
    </row>
    <row r="26" spans="1:10" ht="14.25" customHeight="1">
      <c r="A26" s="56"/>
      <c r="B26" s="97"/>
      <c r="C26" s="97"/>
      <c r="D26" s="97"/>
      <c r="E26" s="97"/>
      <c r="F26" s="97"/>
      <c r="G26" s="97"/>
      <c r="H26" s="97"/>
    </row>
    <row r="27" spans="1:10" ht="14.25" customHeight="1">
      <c r="A27" s="98" t="s">
        <v>406</v>
      </c>
      <c r="B27" s="97"/>
      <c r="C27" s="97"/>
      <c r="D27" s="97"/>
      <c r="E27" s="97"/>
      <c r="F27" s="97"/>
      <c r="G27" s="97"/>
      <c r="H27" s="97"/>
    </row>
    <row r="28" spans="1:10" ht="14.25" customHeight="1">
      <c r="A28" s="56" t="str">
        <f t="shared" ref="A28:A33" si="3">A18</f>
        <v>Activity 1 - Flour Mill</v>
      </c>
      <c r="B28" s="97">
        <f>'12.Facility 1 - Flour Mill'!D208</f>
        <v>240000</v>
      </c>
      <c r="C28" s="97">
        <f>'12.Facility 1 - Flour Mill'!E208</f>
        <v>252000</v>
      </c>
      <c r="D28" s="97">
        <f>'12.Facility 1 - Flour Mill'!F208</f>
        <v>264600</v>
      </c>
      <c r="E28" s="97">
        <f>'12.Facility 1 - Flour Mill'!G208</f>
        <v>277830.00000000006</v>
      </c>
      <c r="F28" s="97">
        <f>'12.Facility 1 - Flour Mill'!H208</f>
        <v>291721.50000000006</v>
      </c>
      <c r="G28" s="97">
        <f>'12.Facility 1 - Flour Mill'!I208</f>
        <v>306307.57500000007</v>
      </c>
      <c r="H28" s="97">
        <f>'12.Facility 1 - Flour Mill'!J208</f>
        <v>321622.9537500001</v>
      </c>
    </row>
    <row r="29" spans="1:10" ht="14.25" customHeight="1">
      <c r="A29" s="56" t="str">
        <f t="shared" si="3"/>
        <v>Activity 2 - Cleaning &amp; Grading Unit</v>
      </c>
      <c r="B29" s="97">
        <f>'13.Facility 2 Cleaning &amp; Gradin'!D170</f>
        <v>240000</v>
      </c>
      <c r="C29" s="97">
        <f>'13.Facility 2 Cleaning &amp; Gradin'!E170</f>
        <v>252000</v>
      </c>
      <c r="D29" s="97">
        <f>'13.Facility 2 Cleaning &amp; Gradin'!F170</f>
        <v>264600</v>
      </c>
      <c r="E29" s="97">
        <f>'13.Facility 2 Cleaning &amp; Gradin'!G170</f>
        <v>277830.00000000006</v>
      </c>
      <c r="F29" s="97">
        <f>'13.Facility 2 Cleaning &amp; Gradin'!H170</f>
        <v>291721.5</v>
      </c>
      <c r="G29" s="97">
        <f>'13.Facility 2 Cleaning &amp; Gradin'!I170</f>
        <v>306307.57500000007</v>
      </c>
      <c r="H29" s="97">
        <f>'13.Facility 2 Cleaning &amp; Gradin'!J170</f>
        <v>321622.9537500001</v>
      </c>
    </row>
    <row r="30" spans="1:10" ht="14.25" customHeight="1">
      <c r="A30" s="56" t="str">
        <f t="shared" si="3"/>
        <v>Faclitiy 3 - Warehouse</v>
      </c>
      <c r="B30" s="97">
        <f>'14. Facility 3 Warehouse'!D43</f>
        <v>120000</v>
      </c>
      <c r="C30" s="97">
        <f>'14. Facility 3 Warehouse'!E43</f>
        <v>126000</v>
      </c>
      <c r="D30" s="97">
        <f>'14. Facility 3 Warehouse'!F43</f>
        <v>132300</v>
      </c>
      <c r="E30" s="97">
        <f>'14. Facility 3 Warehouse'!G43</f>
        <v>138915.00000000003</v>
      </c>
      <c r="F30" s="97">
        <f>'14. Facility 3 Warehouse'!H43</f>
        <v>145860.75000000003</v>
      </c>
      <c r="G30" s="97">
        <f>'14. Facility 3 Warehouse'!I43</f>
        <v>153153.78750000003</v>
      </c>
      <c r="H30" s="97">
        <f>'14. Facility 3 Warehouse'!J43</f>
        <v>160811.47687500005</v>
      </c>
    </row>
    <row r="31" spans="1:10" ht="14.25" hidden="1" customHeight="1">
      <c r="A31" s="56" t="str">
        <f t="shared" si="3"/>
        <v xml:space="preserve">Faclitiy 4 - Custom Hiring </v>
      </c>
      <c r="B31" s="97">
        <f>'15. Facility 4 Custom Hiring'!E52</f>
        <v>0</v>
      </c>
      <c r="C31" s="97">
        <f>'15. Facility 4 Custom Hiring'!F52</f>
        <v>0</v>
      </c>
      <c r="D31" s="97">
        <f>'15. Facility 4 Custom Hiring'!G52</f>
        <v>0</v>
      </c>
      <c r="E31" s="97">
        <f>'15. Facility 4 Custom Hiring'!H52</f>
        <v>0</v>
      </c>
      <c r="F31" s="97">
        <f>'15. Facility 4 Custom Hiring'!I52</f>
        <v>0</v>
      </c>
      <c r="G31" s="97">
        <f>'15. Facility 4 Custom Hiring'!J52</f>
        <v>0</v>
      </c>
      <c r="H31" s="97">
        <f>'15. Facility 4 Custom Hiring'!K52</f>
        <v>0</v>
      </c>
    </row>
    <row r="32" spans="1:10" ht="14.25" hidden="1" customHeight="1">
      <c r="A32" s="56" t="str">
        <f t="shared" si="3"/>
        <v>Faclitiy 5 - Agri Input Centre</v>
      </c>
      <c r="B32" s="97">
        <f>'16.Facility 5 Agri Input'!D274</f>
        <v>0</v>
      </c>
      <c r="C32" s="97">
        <f>'16.Facility 5 Agri Input'!E274</f>
        <v>0</v>
      </c>
      <c r="D32" s="97">
        <f>'16.Facility 5 Agri Input'!F274</f>
        <v>0</v>
      </c>
      <c r="E32" s="97">
        <f>'16.Facility 5 Agri Input'!G274</f>
        <v>0</v>
      </c>
      <c r="F32" s="97">
        <f>'16.Facility 5 Agri Input'!H274</f>
        <v>0</v>
      </c>
      <c r="G32" s="97">
        <f>'16.Facility 5 Agri Input'!I274</f>
        <v>0</v>
      </c>
      <c r="H32" s="97">
        <f>'16.Facility 5 Agri Input'!J274</f>
        <v>0</v>
      </c>
    </row>
    <row r="33" spans="1:10" ht="14.25" customHeight="1">
      <c r="A33" s="56" t="str">
        <f t="shared" si="3"/>
        <v>Facility 4 - Roasted Channa</v>
      </c>
      <c r="B33" s="97">
        <f>'17.Facility 6 Roasted Channa '!D185</f>
        <v>0</v>
      </c>
      <c r="C33" s="97">
        <f>'17.Facility 6 Roasted Channa '!E185</f>
        <v>0</v>
      </c>
      <c r="D33" s="97">
        <f>'17.Facility 6 Roasted Channa '!F185</f>
        <v>0</v>
      </c>
      <c r="E33" s="97">
        <f>'17.Facility 6 Roasted Channa '!G185</f>
        <v>0</v>
      </c>
      <c r="F33" s="97">
        <f>'17.Facility 6 Roasted Channa '!H185</f>
        <v>0</v>
      </c>
      <c r="G33" s="97">
        <f>'17.Facility 6 Roasted Channa '!I185</f>
        <v>0</v>
      </c>
      <c r="H33" s="97">
        <f>'17.Facility 6 Roasted Channa '!J185</f>
        <v>0</v>
      </c>
    </row>
    <row r="34" spans="1:10" ht="14.25" customHeight="1">
      <c r="A34" s="56"/>
      <c r="B34" s="97"/>
      <c r="C34" s="97"/>
      <c r="D34" s="97"/>
      <c r="E34" s="97"/>
      <c r="F34" s="97"/>
      <c r="G34" s="97"/>
      <c r="H34" s="97"/>
    </row>
    <row r="35" spans="1:10" ht="14.25" customHeight="1">
      <c r="A35" s="56" t="s">
        <v>407</v>
      </c>
      <c r="B35" s="97">
        <f>'3.Other Exp &amp; Taxes'!E24</f>
        <v>1612000</v>
      </c>
      <c r="C35" s="97">
        <f>'3.Other Exp &amp; Taxes'!F24</f>
        <v>1692600</v>
      </c>
      <c r="D35" s="97">
        <f>'3.Other Exp &amp; Taxes'!G24</f>
        <v>1777230</v>
      </c>
      <c r="E35" s="97">
        <f>'3.Other Exp &amp; Taxes'!H24</f>
        <v>1866091.5000000002</v>
      </c>
      <c r="F35" s="97">
        <f>'3.Other Exp &amp; Taxes'!I24</f>
        <v>1959396.0750000002</v>
      </c>
      <c r="G35" s="97">
        <f>'3.Other Exp &amp; Taxes'!J24</f>
        <v>2057365.8787500004</v>
      </c>
      <c r="H35" s="97">
        <f>'3.Other Exp &amp; Taxes'!K24</f>
        <v>2160234.1726875007</v>
      </c>
    </row>
    <row r="36" spans="1:10" ht="14.25" customHeight="1">
      <c r="A36" s="98" t="s">
        <v>408</v>
      </c>
      <c r="B36" s="99">
        <f t="shared" ref="B36:H36" si="4">SUM(B28:B35)</f>
        <v>2212000</v>
      </c>
      <c r="C36" s="99">
        <f t="shared" si="4"/>
        <v>2322600</v>
      </c>
      <c r="D36" s="99">
        <f t="shared" si="4"/>
        <v>2438730</v>
      </c>
      <c r="E36" s="99">
        <f t="shared" si="4"/>
        <v>2560666.5000000005</v>
      </c>
      <c r="F36" s="99">
        <f t="shared" si="4"/>
        <v>2688699.8250000002</v>
      </c>
      <c r="G36" s="99">
        <f t="shared" si="4"/>
        <v>2823134.8162500006</v>
      </c>
      <c r="H36" s="99">
        <f t="shared" si="4"/>
        <v>2964291.5570625011</v>
      </c>
    </row>
    <row r="37" spans="1:10" ht="14.25" customHeight="1">
      <c r="A37" s="56"/>
      <c r="B37" s="97"/>
      <c r="C37" s="97"/>
      <c r="D37" s="97"/>
      <c r="E37" s="97"/>
      <c r="F37" s="97"/>
      <c r="G37" s="97"/>
      <c r="H37" s="97"/>
    </row>
    <row r="38" spans="1:10" ht="14.25" customHeight="1">
      <c r="A38" s="98" t="s">
        <v>409</v>
      </c>
      <c r="B38" s="99">
        <f t="shared" ref="B38:H38" si="5">B25+B36</f>
        <v>46491525.164500542</v>
      </c>
      <c r="C38" s="99">
        <f t="shared" si="5"/>
        <v>56412928.428730629</v>
      </c>
      <c r="D38" s="99">
        <f t="shared" si="5"/>
        <v>65840260.084520414</v>
      </c>
      <c r="E38" s="99">
        <f t="shared" si="5"/>
        <v>76069292.584817365</v>
      </c>
      <c r="F38" s="99">
        <f t="shared" si="5"/>
        <v>87156627.684932694</v>
      </c>
      <c r="G38" s="99">
        <f t="shared" si="5"/>
        <v>99162523.063597545</v>
      </c>
      <c r="H38" s="99">
        <f>H25+H36</f>
        <v>112151116.41091652</v>
      </c>
    </row>
    <row r="39" spans="1:10" ht="14.25" customHeight="1">
      <c r="A39" s="56"/>
      <c r="B39" s="97"/>
      <c r="C39" s="97"/>
      <c r="D39" s="97"/>
      <c r="E39" s="97"/>
      <c r="F39" s="97"/>
      <c r="G39" s="97"/>
      <c r="H39" s="97"/>
    </row>
    <row r="40" spans="1:10" ht="14.25" customHeight="1">
      <c r="A40" s="98" t="s">
        <v>410</v>
      </c>
      <c r="B40" s="99">
        <f t="shared" ref="B40:H40" si="6">B15-B38</f>
        <v>3890469.5511804447</v>
      </c>
      <c r="C40" s="99">
        <f t="shared" si="6"/>
        <v>5970143.0588472858</v>
      </c>
      <c r="D40" s="99">
        <f t="shared" si="6"/>
        <v>7306207.2785984874</v>
      </c>
      <c r="E40" s="99">
        <f t="shared" si="6"/>
        <v>8760952.5626776665</v>
      </c>
      <c r="F40" s="99">
        <f t="shared" si="6"/>
        <v>10342906.856968269</v>
      </c>
      <c r="G40" s="99">
        <f t="shared" si="6"/>
        <v>11969261.926781237</v>
      </c>
      <c r="H40" s="99">
        <f>H15-H38</f>
        <v>13732395.236433074</v>
      </c>
      <c r="J40" s="27">
        <f>B49+B42+B43</f>
        <v>2685147.6954600955</v>
      </c>
    </row>
    <row r="41" spans="1:10" ht="14.25" customHeight="1">
      <c r="A41" s="56"/>
      <c r="B41" s="97"/>
      <c r="C41" s="97"/>
      <c r="D41" s="97"/>
      <c r="E41" s="97"/>
      <c r="F41" s="97"/>
      <c r="G41" s="97"/>
      <c r="H41" s="97"/>
      <c r="J41" s="190">
        <f>'5.Closing Stock &amp; W Capital'!E57</f>
        <v>717056.40028420207</v>
      </c>
    </row>
    <row r="42" spans="1:10" ht="14.25" customHeight="1">
      <c r="A42" s="56" t="s">
        <v>232</v>
      </c>
      <c r="B42" s="97">
        <f>'3.Other Exp &amp; Taxes'!C67</f>
        <v>1252517.731892</v>
      </c>
      <c r="C42" s="97">
        <f>'3.Other Exp &amp; Taxes'!D67</f>
        <v>1252517.731892</v>
      </c>
      <c r="D42" s="97">
        <f>'3.Other Exp &amp; Taxes'!E67</f>
        <v>1252517.731892</v>
      </c>
      <c r="E42" s="97">
        <f>'3.Other Exp &amp; Taxes'!F67</f>
        <v>1252517.731892</v>
      </c>
      <c r="F42" s="97">
        <f>'3.Other Exp &amp; Taxes'!G67</f>
        <v>1252517.731892</v>
      </c>
      <c r="G42" s="97">
        <f>'3.Other Exp &amp; Taxes'!H67</f>
        <v>1252517.731892</v>
      </c>
      <c r="H42" s="97">
        <f>'3.Other Exp &amp; Taxes'!I67</f>
        <v>1252517.731892</v>
      </c>
      <c r="J42" s="27">
        <f>J40+J41</f>
        <v>3402204.0957442978</v>
      </c>
    </row>
    <row r="43" spans="1:10" ht="14.25" customHeight="1">
      <c r="A43" s="56" t="s">
        <v>411</v>
      </c>
      <c r="B43" s="97">
        <f>'3.Other Exp &amp; Taxes'!C87</f>
        <v>27000</v>
      </c>
      <c r="C43" s="97">
        <f>'3.Other Exp &amp; Taxes'!D87</f>
        <v>27000</v>
      </c>
      <c r="D43" s="97">
        <f>'3.Other Exp &amp; Taxes'!E87</f>
        <v>27000</v>
      </c>
      <c r="E43" s="97">
        <f>'3.Other Exp &amp; Taxes'!F87</f>
        <v>27000</v>
      </c>
      <c r="F43" s="97">
        <f>'3.Other Exp &amp; Taxes'!G87</f>
        <v>27000</v>
      </c>
      <c r="G43" s="97">
        <f>'3.Other Exp &amp; Taxes'!H87</f>
        <v>0</v>
      </c>
      <c r="H43" s="97">
        <f>'3.Other Exp &amp; Taxes'!I87</f>
        <v>0</v>
      </c>
    </row>
    <row r="44" spans="1:10" ht="14.25" customHeight="1">
      <c r="A44" s="56"/>
      <c r="B44" s="97"/>
      <c r="C44" s="97"/>
      <c r="D44" s="97"/>
      <c r="E44" s="97"/>
      <c r="F44" s="97"/>
      <c r="G44" s="97"/>
      <c r="H44" s="97"/>
    </row>
    <row r="45" spans="1:10" ht="14.25" customHeight="1">
      <c r="A45" s="98" t="s">
        <v>412</v>
      </c>
      <c r="B45" s="99">
        <f t="shared" ref="B45:H45" si="7">B40-B42-B43</f>
        <v>2610951.8192884447</v>
      </c>
      <c r="C45" s="99">
        <f t="shared" si="7"/>
        <v>4690625.3269552859</v>
      </c>
      <c r="D45" s="99">
        <f t="shared" si="7"/>
        <v>6026689.5467064874</v>
      </c>
      <c r="E45" s="99">
        <f t="shared" si="7"/>
        <v>7481434.8307856666</v>
      </c>
      <c r="F45" s="99">
        <f t="shared" si="7"/>
        <v>9063389.1250762679</v>
      </c>
      <c r="G45" s="99">
        <f t="shared" si="7"/>
        <v>10716744.194889236</v>
      </c>
      <c r="H45" s="99">
        <f>H40-H42-H43</f>
        <v>12479877.504541073</v>
      </c>
    </row>
    <row r="46" spans="1:10" ht="14.25" customHeight="1">
      <c r="A46" s="56"/>
      <c r="B46" s="97"/>
      <c r="C46" s="97"/>
      <c r="D46" s="97"/>
      <c r="E46" s="97"/>
      <c r="F46" s="97"/>
      <c r="G46" s="97"/>
      <c r="H46" s="97"/>
    </row>
    <row r="47" spans="1:10" ht="14.25" customHeight="1">
      <c r="A47" s="56" t="s">
        <v>413</v>
      </c>
      <c r="B47" s="97">
        <f>'8.Cash Flow '!C27+'8.Cash Flow '!C29</f>
        <v>1205321.8557203491</v>
      </c>
      <c r="C47" s="97">
        <f>'8.Cash Flow '!D27+'8.Cash Flow '!D29</f>
        <v>1221736.6864846037</v>
      </c>
      <c r="D47" s="97">
        <f>'8.Cash Flow '!E27+'8.Cash Flow '!E29</f>
        <v>1103634.9300730696</v>
      </c>
      <c r="E47" s="97">
        <f>'8.Cash Flow '!F27+'8.Cash Flow '!F29</f>
        <v>967492.61243948736</v>
      </c>
      <c r="F47" s="97">
        <f>'8.Cash Flow '!G27+'8.Cash Flow '!G29</f>
        <v>810662.57489712921</v>
      </c>
      <c r="G47" s="97">
        <f>'8.Cash Flow '!H27+'8.Cash Flow '!H29</f>
        <v>761655.90302202734</v>
      </c>
      <c r="H47" s="97">
        <f>'8.Cash Flow '!I27+'8.Cash Flow '!I29</f>
        <v>864495.65153061587</v>
      </c>
    </row>
    <row r="48" spans="1:10" ht="14.25" customHeight="1">
      <c r="A48" s="56"/>
      <c r="B48" s="97"/>
      <c r="C48" s="97"/>
      <c r="D48" s="97"/>
      <c r="E48" s="97"/>
      <c r="F48" s="97"/>
      <c r="G48" s="97"/>
      <c r="H48" s="97"/>
    </row>
    <row r="49" spans="1:9" ht="14.25" customHeight="1">
      <c r="A49" s="56" t="s">
        <v>414</v>
      </c>
      <c r="B49" s="97">
        <f t="shared" ref="B49:H49" si="8">B45-B47</f>
        <v>1405629.9635680956</v>
      </c>
      <c r="C49" s="97">
        <f t="shared" si="8"/>
        <v>3468888.6404706822</v>
      </c>
      <c r="D49" s="97">
        <f t="shared" si="8"/>
        <v>4923054.616633418</v>
      </c>
      <c r="E49" s="97">
        <f t="shared" si="8"/>
        <v>6513942.2183461795</v>
      </c>
      <c r="F49" s="97">
        <f t="shared" si="8"/>
        <v>8252726.5501791388</v>
      </c>
      <c r="G49" s="97">
        <f t="shared" si="8"/>
        <v>9955088.2918672096</v>
      </c>
      <c r="H49" s="97">
        <f t="shared" si="8"/>
        <v>11615381.853010457</v>
      </c>
    </row>
    <row r="50" spans="1:9" ht="14.25" customHeight="1">
      <c r="A50" s="56" t="s">
        <v>415</v>
      </c>
      <c r="B50" s="97" t="str">
        <f>'3.Other Exp &amp; Taxes'!B100</f>
        <v>0</v>
      </c>
      <c r="C50" s="97">
        <f>'3.Other Exp &amp; Taxes'!C100</f>
        <v>475613.11700829753</v>
      </c>
      <c r="D50" s="97">
        <f>'3.Other Exp &amp; Taxes'!D100</f>
        <v>952392.01678150881</v>
      </c>
      <c r="E50" s="97">
        <f>'3.Other Exp &amp; Taxes'!E100</f>
        <v>1450668.6908020915</v>
      </c>
      <c r="F50" s="97">
        <f>'3.Other Exp &amp; Taxes'!F100</f>
        <v>1975642.7721676365</v>
      </c>
      <c r="G50" s="97">
        <f>'3.Other Exp &amp; Taxes'!G100</f>
        <v>2481217.7327671633</v>
      </c>
      <c r="H50" s="97">
        <f>'3.Other Exp &amp; Taxes'!H100</f>
        <v>2967409.0274024429</v>
      </c>
    </row>
    <row r="51" spans="1:9" ht="14.25" customHeight="1">
      <c r="A51" s="98" t="s">
        <v>416</v>
      </c>
      <c r="B51" s="97">
        <f t="shared" ref="B51:H51" si="9">B49-B50</f>
        <v>1405629.9635680956</v>
      </c>
      <c r="C51" s="97">
        <f t="shared" si="9"/>
        <v>2993275.5234623845</v>
      </c>
      <c r="D51" s="97">
        <f t="shared" si="9"/>
        <v>3970662.5998519091</v>
      </c>
      <c r="E51" s="97">
        <f t="shared" si="9"/>
        <v>5063273.5275440877</v>
      </c>
      <c r="F51" s="97">
        <f t="shared" si="9"/>
        <v>6277083.7780115027</v>
      </c>
      <c r="G51" s="97">
        <f t="shared" si="9"/>
        <v>7473870.5591000468</v>
      </c>
      <c r="H51" s="97">
        <f t="shared" si="9"/>
        <v>8647972.8256080151</v>
      </c>
    </row>
    <row r="52" spans="1:9" ht="14.25" customHeight="1">
      <c r="A52" s="92"/>
      <c r="B52" s="158"/>
      <c r="C52" s="158"/>
      <c r="D52" s="158"/>
      <c r="E52" s="158"/>
      <c r="F52" s="158"/>
      <c r="G52" s="158"/>
      <c r="H52" s="158"/>
    </row>
    <row r="53" spans="1:9" ht="14.25" customHeight="1">
      <c r="A53" s="92" t="s">
        <v>417</v>
      </c>
      <c r="B53" s="158">
        <f>B51</f>
        <v>1405629.9635680956</v>
      </c>
      <c r="C53" s="158">
        <f t="shared" ref="C53:H53" si="10">B53+C51</f>
        <v>4398905.4870304801</v>
      </c>
      <c r="D53" s="158">
        <f t="shared" si="10"/>
        <v>8369568.0868823892</v>
      </c>
      <c r="E53" s="158">
        <f t="shared" si="10"/>
        <v>13432841.614426477</v>
      </c>
      <c r="F53" s="158">
        <f t="shared" si="10"/>
        <v>19709925.39243798</v>
      </c>
      <c r="G53" s="158">
        <f t="shared" si="10"/>
        <v>27183795.951538026</v>
      </c>
      <c r="H53" s="158">
        <f t="shared" si="10"/>
        <v>35831768.777146041</v>
      </c>
    </row>
    <row r="54" spans="1:9" ht="14.25" customHeight="1"/>
    <row r="55" spans="1:9" ht="14.25" customHeight="1"/>
    <row r="56" spans="1:9" ht="32.25" customHeight="1">
      <c r="A56" s="394" t="s">
        <v>418</v>
      </c>
      <c r="B56" s="360"/>
      <c r="C56" s="360"/>
      <c r="D56" s="360"/>
      <c r="E56" s="360"/>
      <c r="F56" s="360"/>
      <c r="G56" s="360"/>
      <c r="H56" s="360"/>
      <c r="I56" s="360"/>
    </row>
    <row r="57" spans="1:9" ht="14.25" customHeight="1"/>
    <row r="58" spans="1:9" ht="14.25" customHeight="1">
      <c r="A58" s="191"/>
    </row>
    <row r="59" spans="1:9" ht="14.25" customHeight="1"/>
    <row r="60" spans="1:9" ht="14.25" customHeight="1"/>
    <row r="61" spans="1:9" ht="14.25" customHeight="1"/>
    <row r="62" spans="1:9" ht="14.25" customHeight="1"/>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
    <mergeCell ref="A2:H2"/>
    <mergeCell ref="A56:I56"/>
  </mergeCells>
  <pageMargins left="0.7" right="0.7" top="0.75" bottom="0.75" header="0" footer="0"/>
  <pageSetup scale="66"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00"/>
  <sheetViews>
    <sheetView topLeftCell="A22" workbookViewId="0">
      <selection activeCell="B38" sqref="B38"/>
    </sheetView>
  </sheetViews>
  <sheetFormatPr defaultColWidth="14.42578125" defaultRowHeight="15" customHeight="1"/>
  <cols>
    <col min="1" max="1" width="37.28515625" customWidth="1"/>
    <col min="2" max="2" width="18.42578125" customWidth="1"/>
    <col min="3" max="3" width="12.42578125" customWidth="1"/>
    <col min="4" max="6" width="13.5703125" customWidth="1"/>
    <col min="7" max="8" width="12.42578125" customWidth="1"/>
    <col min="9" max="9" width="9.140625" customWidth="1"/>
    <col min="10" max="10" width="32.85546875" customWidth="1"/>
    <col min="11" max="16" width="8.7109375" customWidth="1"/>
    <col min="17" max="17" width="10.140625" customWidth="1"/>
    <col min="18" max="18" width="9.140625" customWidth="1"/>
  </cols>
  <sheetData>
    <row r="1" spans="1:18" ht="14.25" customHeight="1">
      <c r="A1" s="377"/>
      <c r="B1" s="360"/>
      <c r="C1" s="360"/>
      <c r="D1" s="360"/>
      <c r="E1" s="360"/>
      <c r="F1" s="360"/>
      <c r="G1" s="192"/>
      <c r="H1" s="192"/>
      <c r="I1" s="192"/>
      <c r="J1" s="192"/>
      <c r="K1" s="192"/>
      <c r="L1" s="192"/>
      <c r="M1" s="192"/>
      <c r="N1" s="192"/>
      <c r="O1" s="192"/>
      <c r="P1" s="192"/>
      <c r="Q1" s="192"/>
      <c r="R1" s="192"/>
    </row>
    <row r="2" spans="1:18" ht="14.25" customHeight="1">
      <c r="A2" s="395" t="s">
        <v>419</v>
      </c>
      <c r="B2" s="360"/>
      <c r="C2" s="360"/>
      <c r="D2" s="360"/>
      <c r="E2" s="360"/>
      <c r="F2" s="360"/>
      <c r="G2" s="360"/>
      <c r="H2" s="360"/>
      <c r="I2" s="100"/>
      <c r="J2" s="192"/>
      <c r="K2" s="192"/>
      <c r="L2" s="192"/>
      <c r="M2" s="192"/>
      <c r="N2" s="192"/>
      <c r="O2" s="192"/>
      <c r="P2" s="192"/>
      <c r="Q2" s="192"/>
      <c r="R2" s="192"/>
    </row>
    <row r="3" spans="1:18" ht="14.25" customHeight="1">
      <c r="A3" s="193"/>
      <c r="B3" s="194"/>
      <c r="C3" s="194"/>
      <c r="D3" s="194"/>
      <c r="E3" s="194"/>
      <c r="F3" s="194"/>
      <c r="G3" s="192"/>
      <c r="H3" s="192"/>
      <c r="I3" s="192"/>
      <c r="J3" s="192"/>
      <c r="K3" s="192"/>
      <c r="L3" s="192"/>
      <c r="M3" s="192"/>
      <c r="N3" s="192"/>
      <c r="O3" s="192"/>
      <c r="P3" s="192"/>
      <c r="Q3" s="192"/>
      <c r="R3" s="192"/>
    </row>
    <row r="4" spans="1:18" ht="14.25" customHeight="1">
      <c r="A4" s="195" t="s">
        <v>201</v>
      </c>
      <c r="B4" s="196" t="s">
        <v>204</v>
      </c>
      <c r="C4" s="196" t="s">
        <v>205</v>
      </c>
      <c r="D4" s="196" t="s">
        <v>206</v>
      </c>
      <c r="E4" s="196" t="s">
        <v>207</v>
      </c>
      <c r="F4" s="196" t="s">
        <v>208</v>
      </c>
      <c r="G4" s="96" t="s">
        <v>209</v>
      </c>
      <c r="H4" s="96" t="s">
        <v>210</v>
      </c>
      <c r="I4" s="192"/>
      <c r="J4" s="192"/>
      <c r="K4" s="192"/>
      <c r="L4" s="192"/>
      <c r="M4" s="192"/>
      <c r="N4" s="192"/>
      <c r="O4" s="192"/>
      <c r="P4" s="192"/>
      <c r="Q4" s="192"/>
      <c r="R4" s="192"/>
    </row>
    <row r="5" spans="1:18" ht="14.25" customHeight="1">
      <c r="A5" s="197"/>
      <c r="B5" s="198"/>
      <c r="C5" s="199"/>
      <c r="D5" s="199"/>
      <c r="E5" s="199"/>
      <c r="F5" s="199"/>
      <c r="G5" s="199"/>
      <c r="H5" s="199"/>
      <c r="I5" s="192"/>
      <c r="J5" s="192"/>
      <c r="K5" s="192"/>
      <c r="L5" s="192"/>
      <c r="M5" s="192"/>
      <c r="N5" s="192"/>
      <c r="O5" s="192"/>
      <c r="P5" s="192"/>
      <c r="Q5" s="192"/>
      <c r="R5" s="192"/>
    </row>
    <row r="6" spans="1:18" ht="14.25" customHeight="1">
      <c r="A6" s="200" t="s">
        <v>420</v>
      </c>
      <c r="B6" s="201"/>
      <c r="C6" s="201"/>
      <c r="D6" s="201"/>
      <c r="E6" s="201"/>
      <c r="F6" s="201"/>
      <c r="G6" s="201"/>
      <c r="H6" s="201"/>
      <c r="I6" s="192"/>
      <c r="J6" s="192"/>
      <c r="K6" s="192"/>
      <c r="L6" s="192"/>
      <c r="M6" s="192"/>
      <c r="N6" s="192"/>
      <c r="O6" s="192"/>
      <c r="P6" s="192"/>
      <c r="Q6" s="192"/>
      <c r="R6" s="192"/>
    </row>
    <row r="7" spans="1:18" ht="14.25" customHeight="1">
      <c r="A7" s="202" t="s">
        <v>421</v>
      </c>
      <c r="B7" s="203"/>
      <c r="C7" s="203"/>
      <c r="D7" s="203"/>
      <c r="E7" s="203"/>
      <c r="F7" s="203"/>
      <c r="G7" s="203"/>
      <c r="H7" s="203"/>
      <c r="I7" s="192"/>
      <c r="J7" s="192"/>
      <c r="K7" s="192"/>
      <c r="L7" s="192"/>
      <c r="M7" s="192"/>
      <c r="N7" s="192"/>
      <c r="O7" s="192"/>
      <c r="P7" s="192"/>
      <c r="Q7" s="192"/>
      <c r="R7" s="192"/>
    </row>
    <row r="8" spans="1:18" ht="14.25" customHeight="1">
      <c r="A8" s="202" t="s">
        <v>422</v>
      </c>
      <c r="B8" s="204">
        <f>'8.Cash Flow '!C36</f>
        <v>1990199.8931174576</v>
      </c>
      <c r="C8" s="204">
        <f>'8.Cash Flow '!D36</f>
        <v>5459263.8746386245</v>
      </c>
      <c r="D8" s="204">
        <f>'8.Cash Flow '!E36</f>
        <v>8995784.8433208987</v>
      </c>
      <c r="E8" s="204">
        <f>'8.Cash Flow '!F36</f>
        <v>13407581.839339145</v>
      </c>
      <c r="F8" s="204">
        <f>'8.Cash Flow '!G36</f>
        <v>18788290.680182151</v>
      </c>
      <c r="G8" s="204">
        <f>'8.Cash Flow '!H36</f>
        <v>27514678.971174203</v>
      </c>
      <c r="H8" s="204">
        <f>'8.Cash Flow '!I36</f>
        <v>37415169.528674223</v>
      </c>
      <c r="I8" s="192"/>
      <c r="J8" s="192"/>
      <c r="K8" s="205"/>
      <c r="L8" s="205"/>
      <c r="M8" s="205"/>
      <c r="N8" s="205"/>
      <c r="O8" s="205"/>
      <c r="P8" s="205"/>
      <c r="Q8" s="205"/>
      <c r="R8" s="205"/>
    </row>
    <row r="9" spans="1:18" ht="14.25" customHeight="1">
      <c r="A9" s="206" t="s">
        <v>423</v>
      </c>
      <c r="B9" s="207">
        <f>'5.Closing Stock &amp; W Capital'!E42</f>
        <v>1932460.0712863943</v>
      </c>
      <c r="C9" s="207">
        <f>'5.Closing Stock &amp; W Capital'!F42</f>
        <v>2392775.3447290156</v>
      </c>
      <c r="D9" s="207">
        <f>'5.Closing Stock &amp; W Capital'!G42</f>
        <v>2805617.9262566152</v>
      </c>
      <c r="E9" s="207">
        <f>'5.Closing Stock &amp; W Capital'!H42</f>
        <v>3253762.8275751513</v>
      </c>
      <c r="F9" s="207">
        <f>'5.Closing Stock &amp; W Capital'!I42</f>
        <v>3739708.1742099002</v>
      </c>
      <c r="G9" s="207">
        <f>'5.Closing Stock &amp; W Capital'!J42</f>
        <v>4262589.0133295972</v>
      </c>
      <c r="H9" s="207">
        <f>'5.Closing Stock &amp; W Capital'!K42</f>
        <v>4828408.6659257384</v>
      </c>
      <c r="I9" s="192"/>
      <c r="J9" s="192"/>
      <c r="K9" s="205"/>
      <c r="L9" s="205"/>
      <c r="M9" s="205"/>
      <c r="N9" s="205"/>
      <c r="O9" s="205"/>
      <c r="P9" s="205"/>
      <c r="Q9" s="205"/>
      <c r="R9" s="205"/>
    </row>
    <row r="10" spans="1:18" ht="14.25" customHeight="1">
      <c r="A10" s="206" t="s">
        <v>424</v>
      </c>
      <c r="B10" s="207">
        <f>'5.Closing Stock &amp; W Capital'!E21</f>
        <v>1531055.19286845</v>
      </c>
      <c r="C10" s="207">
        <f>'5.Closing Stock &amp; W Capital'!F21</f>
        <v>1845232.7830716937</v>
      </c>
      <c r="D10" s="207">
        <f>'5.Closing Stock &amp; W Capital'!G21</f>
        <v>2187000.494313091</v>
      </c>
      <c r="E10" s="207">
        <f>'5.Closing Stock &amp; W Capital'!H21</f>
        <v>2558331.8947209483</v>
      </c>
      <c r="F10" s="207">
        <f>'5.Closing Stock &amp; W Capital'!I21</f>
        <v>2961328.9339338094</v>
      </c>
      <c r="G10" s="207">
        <f>'5.Closing Stock &amp; W Capital'!J21</f>
        <v>3398229.8473311537</v>
      </c>
      <c r="H10" s="207">
        <f>'5.Closing Stock &amp; W Capital'!K21</f>
        <v>3871417.5297333989</v>
      </c>
      <c r="I10" s="192"/>
      <c r="J10" s="192"/>
      <c r="K10" s="205"/>
      <c r="L10" s="205"/>
      <c r="M10" s="205"/>
      <c r="N10" s="205"/>
      <c r="O10" s="205"/>
      <c r="P10" s="205"/>
      <c r="Q10" s="205"/>
      <c r="R10" s="205"/>
    </row>
    <row r="11" spans="1:18" ht="14.25" customHeight="1">
      <c r="A11" s="202" t="s">
        <v>425</v>
      </c>
      <c r="B11" s="204">
        <f t="shared" ref="B11:H11" si="0">SUM(B8:B10)</f>
        <v>5453715.1572723016</v>
      </c>
      <c r="C11" s="204">
        <f t="shared" si="0"/>
        <v>9697272.0024393331</v>
      </c>
      <c r="D11" s="204">
        <f t="shared" si="0"/>
        <v>13988403.263890605</v>
      </c>
      <c r="E11" s="204">
        <f t="shared" si="0"/>
        <v>19219676.561635245</v>
      </c>
      <c r="F11" s="204">
        <f t="shared" si="0"/>
        <v>25489327.788325861</v>
      </c>
      <c r="G11" s="204">
        <f t="shared" si="0"/>
        <v>35175497.83183495</v>
      </c>
      <c r="H11" s="204">
        <f t="shared" si="0"/>
        <v>46114995.724333361</v>
      </c>
      <c r="I11" s="192"/>
      <c r="J11" s="192"/>
      <c r="K11" s="192"/>
      <c r="L11" s="192"/>
      <c r="M11" s="192"/>
      <c r="N11" s="192"/>
      <c r="O11" s="192"/>
      <c r="P11" s="192"/>
      <c r="Q11" s="192"/>
      <c r="R11" s="192"/>
    </row>
    <row r="12" spans="1:18" ht="14.25" customHeight="1">
      <c r="A12" s="202"/>
      <c r="B12" s="207"/>
      <c r="C12" s="207"/>
      <c r="D12" s="207"/>
      <c r="E12" s="207"/>
      <c r="F12" s="207"/>
      <c r="G12" s="207"/>
      <c r="H12" s="207"/>
      <c r="I12" s="192"/>
      <c r="J12" s="205"/>
      <c r="K12" s="205"/>
      <c r="L12" s="205"/>
      <c r="M12" s="205"/>
      <c r="N12" s="205"/>
      <c r="O12" s="205"/>
      <c r="P12" s="205"/>
      <c r="Q12" s="205"/>
      <c r="R12" s="192"/>
    </row>
    <row r="13" spans="1:18" ht="14.25" customHeight="1">
      <c r="A13" s="206" t="s">
        <v>426</v>
      </c>
      <c r="B13" s="207">
        <f>'3.Other Exp &amp; Taxes'!C66</f>
        <v>26652599.240000002</v>
      </c>
      <c r="C13" s="207">
        <f>'3.Other Exp &amp; Taxes'!D66</f>
        <v>25400081.508108001</v>
      </c>
      <c r="D13" s="207">
        <f>'3.Other Exp &amp; Taxes'!E66</f>
        <v>24147563.776216</v>
      </c>
      <c r="E13" s="207">
        <f>'3.Other Exp &amp; Taxes'!F66</f>
        <v>22895046.044324003</v>
      </c>
      <c r="F13" s="207">
        <f>'3.Other Exp &amp; Taxes'!G66</f>
        <v>21642528.312432006</v>
      </c>
      <c r="G13" s="207">
        <f>'3.Other Exp &amp; Taxes'!H66</f>
        <v>20390010.580540005</v>
      </c>
      <c r="H13" s="207">
        <f>'3.Other Exp &amp; Taxes'!I66</f>
        <v>19137492.848648004</v>
      </c>
      <c r="I13" s="192"/>
      <c r="J13" s="192"/>
      <c r="K13" s="192"/>
      <c r="L13" s="192"/>
      <c r="M13" s="192"/>
      <c r="N13" s="192"/>
      <c r="O13" s="192"/>
      <c r="P13" s="192"/>
      <c r="Q13" s="192"/>
      <c r="R13" s="192"/>
    </row>
    <row r="14" spans="1:18" ht="14.25" customHeight="1">
      <c r="A14" s="206" t="s">
        <v>427</v>
      </c>
      <c r="B14" s="207">
        <f>'3.Other Exp &amp; Taxes'!C67</f>
        <v>1252517.731892</v>
      </c>
      <c r="C14" s="207">
        <f>'3.Other Exp &amp; Taxes'!D67</f>
        <v>1252517.731892</v>
      </c>
      <c r="D14" s="207">
        <f>'3.Other Exp &amp; Taxes'!E67</f>
        <v>1252517.731892</v>
      </c>
      <c r="E14" s="207">
        <f>'3.Other Exp &amp; Taxes'!F67</f>
        <v>1252517.731892</v>
      </c>
      <c r="F14" s="207">
        <f>'3.Other Exp &amp; Taxes'!G67</f>
        <v>1252517.731892</v>
      </c>
      <c r="G14" s="207">
        <f>'3.Other Exp &amp; Taxes'!H67</f>
        <v>1252517.731892</v>
      </c>
      <c r="H14" s="207">
        <f>'3.Other Exp &amp; Taxes'!I67</f>
        <v>1252517.731892</v>
      </c>
      <c r="I14" s="192"/>
      <c r="J14" s="192"/>
      <c r="K14" s="205"/>
      <c r="L14" s="205"/>
      <c r="M14" s="205"/>
      <c r="N14" s="205"/>
      <c r="O14" s="205"/>
      <c r="P14" s="205"/>
      <c r="Q14" s="205"/>
      <c r="R14" s="192"/>
    </row>
    <row r="15" spans="1:18" ht="14.25" customHeight="1">
      <c r="A15" s="202" t="s">
        <v>234</v>
      </c>
      <c r="B15" s="204">
        <f t="shared" ref="B15:H15" si="1">B13-B14</f>
        <v>25400081.508108001</v>
      </c>
      <c r="C15" s="204">
        <f t="shared" si="1"/>
        <v>24147563.776216</v>
      </c>
      <c r="D15" s="204">
        <f t="shared" si="1"/>
        <v>22895046.044323999</v>
      </c>
      <c r="E15" s="204">
        <f t="shared" si="1"/>
        <v>21642528.312432002</v>
      </c>
      <c r="F15" s="204">
        <f t="shared" si="1"/>
        <v>20390010.580540005</v>
      </c>
      <c r="G15" s="204">
        <f t="shared" si="1"/>
        <v>19137492.848648004</v>
      </c>
      <c r="H15" s="204">
        <f t="shared" si="1"/>
        <v>17884975.116756003</v>
      </c>
      <c r="I15" s="194"/>
      <c r="J15" s="194"/>
      <c r="K15" s="194"/>
      <c r="L15" s="194"/>
      <c r="M15" s="194"/>
      <c r="N15" s="194"/>
      <c r="O15" s="194"/>
      <c r="P15" s="194"/>
      <c r="Q15" s="194"/>
      <c r="R15" s="194"/>
    </row>
    <row r="16" spans="1:18" ht="14.25" customHeight="1">
      <c r="A16" s="202"/>
      <c r="B16" s="204"/>
      <c r="C16" s="204"/>
      <c r="D16" s="204"/>
      <c r="E16" s="204"/>
      <c r="F16" s="204"/>
      <c r="G16" s="204"/>
      <c r="H16" s="204"/>
      <c r="I16" s="194"/>
      <c r="J16" s="194"/>
      <c r="K16" s="194"/>
      <c r="L16" s="194"/>
      <c r="M16" s="194"/>
      <c r="N16" s="194"/>
      <c r="O16" s="194"/>
      <c r="P16" s="194"/>
      <c r="Q16" s="194"/>
      <c r="R16" s="194"/>
    </row>
    <row r="17" spans="1:18" ht="14.25" customHeight="1">
      <c r="A17" s="208"/>
      <c r="B17" s="204"/>
      <c r="C17" s="204"/>
      <c r="D17" s="204"/>
      <c r="E17" s="204"/>
      <c r="F17" s="204"/>
      <c r="G17" s="204"/>
      <c r="H17" s="204"/>
      <c r="I17" s="194"/>
      <c r="J17" s="194"/>
      <c r="K17" s="194"/>
      <c r="L17" s="194"/>
      <c r="M17" s="194"/>
      <c r="N17" s="194"/>
      <c r="O17" s="194"/>
      <c r="P17" s="194"/>
      <c r="Q17" s="194"/>
      <c r="R17" s="194"/>
    </row>
    <row r="18" spans="1:18" ht="14.25" customHeight="1">
      <c r="A18" s="202" t="s">
        <v>428</v>
      </c>
      <c r="B18" s="204">
        <f>'8.Cash Flow '!C21-'6.Cons Profit &amp; Loss'!B43</f>
        <v>108000</v>
      </c>
      <c r="C18" s="204">
        <f>B18-'6.Cons Profit &amp; Loss'!C43</f>
        <v>81000</v>
      </c>
      <c r="D18" s="204">
        <f>C18-'6.Cons Profit &amp; Loss'!D43</f>
        <v>54000</v>
      </c>
      <c r="E18" s="204">
        <f>D18-'6.Cons Profit &amp; Loss'!E43</f>
        <v>27000</v>
      </c>
      <c r="F18" s="204">
        <f>E18-'6.Cons Profit &amp; Loss'!F43</f>
        <v>0</v>
      </c>
      <c r="G18" s="204">
        <f>F18-'6.Cons Profit &amp; Loss'!G43</f>
        <v>0</v>
      </c>
      <c r="H18" s="204">
        <f>G18-'6.Cons Profit &amp; Loss'!H43</f>
        <v>0</v>
      </c>
      <c r="I18" s="194"/>
      <c r="J18" s="194"/>
      <c r="K18" s="194"/>
      <c r="L18" s="194"/>
      <c r="M18" s="194"/>
      <c r="N18" s="194"/>
      <c r="O18" s="194"/>
      <c r="P18" s="194"/>
      <c r="Q18" s="194"/>
      <c r="R18" s="194"/>
    </row>
    <row r="19" spans="1:18" ht="14.25" customHeight="1">
      <c r="A19" s="206"/>
      <c r="B19" s="207"/>
      <c r="C19" s="207"/>
      <c r="D19" s="207"/>
      <c r="E19" s="207"/>
      <c r="F19" s="207"/>
      <c r="G19" s="207"/>
      <c r="H19" s="207"/>
      <c r="I19" s="192"/>
      <c r="J19" s="192"/>
      <c r="K19" s="192"/>
      <c r="L19" s="192"/>
      <c r="M19" s="192"/>
      <c r="N19" s="192"/>
      <c r="O19" s="192"/>
      <c r="P19" s="192"/>
      <c r="Q19" s="192"/>
      <c r="R19" s="192"/>
    </row>
    <row r="20" spans="1:18" ht="14.25" customHeight="1">
      <c r="A20" s="208" t="s">
        <v>429</v>
      </c>
      <c r="B20" s="204">
        <f t="shared" ref="B20:H20" si="2">B11+B15+B17+B18</f>
        <v>30961796.665380303</v>
      </c>
      <c r="C20" s="204">
        <f t="shared" si="2"/>
        <v>33925835.778655335</v>
      </c>
      <c r="D20" s="204">
        <f t="shared" si="2"/>
        <v>36937449.308214605</v>
      </c>
      <c r="E20" s="204">
        <f t="shared" si="2"/>
        <v>40889204.874067247</v>
      </c>
      <c r="F20" s="204">
        <f t="shared" si="2"/>
        <v>45879338.368865862</v>
      </c>
      <c r="G20" s="204">
        <f t="shared" si="2"/>
        <v>54312990.680482954</v>
      </c>
      <c r="H20" s="204">
        <f t="shared" si="2"/>
        <v>63999970.841089368</v>
      </c>
      <c r="I20" s="192"/>
      <c r="J20" s="192"/>
      <c r="K20" s="192"/>
      <c r="L20" s="192"/>
      <c r="M20" s="192"/>
      <c r="N20" s="192"/>
      <c r="O20" s="192"/>
      <c r="P20" s="192"/>
      <c r="Q20" s="192"/>
      <c r="R20" s="192"/>
    </row>
    <row r="21" spans="1:18" ht="14.25" customHeight="1">
      <c r="A21" s="197"/>
      <c r="B21" s="207"/>
      <c r="C21" s="207"/>
      <c r="D21" s="207"/>
      <c r="E21" s="207"/>
      <c r="F21" s="207"/>
      <c r="G21" s="207"/>
      <c r="H21" s="207"/>
      <c r="I21" s="192"/>
      <c r="J21" s="192"/>
      <c r="K21" s="192"/>
      <c r="L21" s="192"/>
      <c r="M21" s="192"/>
      <c r="N21" s="192"/>
      <c r="O21" s="192"/>
      <c r="P21" s="192"/>
      <c r="Q21" s="192"/>
      <c r="R21" s="192"/>
    </row>
    <row r="22" spans="1:18" ht="14.25" customHeight="1">
      <c r="A22" s="200" t="s">
        <v>430</v>
      </c>
      <c r="B22" s="209"/>
      <c r="C22" s="209"/>
      <c r="D22" s="209"/>
      <c r="E22" s="209"/>
      <c r="F22" s="209"/>
      <c r="G22" s="209"/>
      <c r="H22" s="209"/>
      <c r="I22" s="192"/>
      <c r="J22" s="192"/>
      <c r="K22" s="192"/>
      <c r="L22" s="192"/>
      <c r="M22" s="192"/>
      <c r="N22" s="192"/>
      <c r="O22" s="192"/>
      <c r="P22" s="192"/>
      <c r="Q22" s="192"/>
      <c r="R22" s="192"/>
    </row>
    <row r="23" spans="1:18" ht="14.25" customHeight="1">
      <c r="A23" s="202" t="s">
        <v>431</v>
      </c>
      <c r="B23" s="209"/>
      <c r="C23" s="209"/>
      <c r="D23" s="209"/>
      <c r="E23" s="209"/>
      <c r="F23" s="209"/>
      <c r="G23" s="209"/>
      <c r="H23" s="209"/>
      <c r="I23" s="192"/>
      <c r="J23" s="192"/>
      <c r="K23" s="192"/>
      <c r="L23" s="192"/>
      <c r="M23" s="192"/>
      <c r="N23" s="192"/>
      <c r="O23" s="192"/>
      <c r="P23" s="192"/>
      <c r="Q23" s="192"/>
      <c r="R23" s="192"/>
    </row>
    <row r="24" spans="1:18" ht="14.25" customHeight="1">
      <c r="A24" s="206" t="s">
        <v>432</v>
      </c>
      <c r="B24" s="204">
        <f>'5.Closing Stock &amp; W Capital'!E56-'5.Closing Stock &amp; W Capital'!E57</f>
        <v>2151169.2008526064</v>
      </c>
      <c r="C24" s="204">
        <f>'5.Closing Stock &amp; W Capital'!F56-'5.Closing Stock &amp; W Capital'!F57</f>
        <v>3521810.2110060873</v>
      </c>
      <c r="D24" s="204">
        <f>'5.Closing Stock &amp; W Capital'!G56-'5.Closing Stock &amp; W Capital'!G57</f>
        <v>4144909.6487783841</v>
      </c>
      <c r="E24" s="204">
        <f>'5.Closing Stock &amp; W Capital'!H56-'5.Closing Stock &amp; W Capital'!H57</f>
        <v>4821514.5048003942</v>
      </c>
      <c r="F24" s="204">
        <f>'5.Closing Stock &amp; W Capital'!I56-'5.Closing Stock &amp; W Capital'!I57</f>
        <v>5555417.57230266</v>
      </c>
      <c r="G24" s="204">
        <f>'5.Closing Stock &amp; W Capital'!J56-'5.Closing Stock &amp; W Capital'!J57</f>
        <v>6347132.5251835613</v>
      </c>
      <c r="H24" s="204">
        <f>'5.Closing Stock &amp; W Capital'!K56-'5.Closing Stock &amp; W Capital'!K57</f>
        <v>7204130.4294217993</v>
      </c>
      <c r="I24" s="192"/>
      <c r="J24" s="192"/>
      <c r="K24" s="192"/>
      <c r="L24" s="192"/>
      <c r="M24" s="192"/>
      <c r="N24" s="192"/>
      <c r="O24" s="192"/>
      <c r="P24" s="192"/>
      <c r="Q24" s="192"/>
      <c r="R24" s="192"/>
    </row>
    <row r="25" spans="1:18" ht="14.25" customHeight="1">
      <c r="A25" s="206" t="s">
        <v>433</v>
      </c>
      <c r="B25" s="207">
        <f>'5.Closing Stock &amp; W Capital'!E55</f>
        <v>595289.66301803547</v>
      </c>
      <c r="C25" s="207">
        <f>'5.Closing Stock &amp; W Capital'!F55</f>
        <v>716197.9167946222</v>
      </c>
      <c r="D25" s="207">
        <f>'5.Closing Stock &amp; W Capital'!G55</f>
        <v>847708.77179132251</v>
      </c>
      <c r="E25" s="207">
        <f>'5.Closing Stock &amp; W Capital'!H55</f>
        <v>990580.21749570617</v>
      </c>
      <c r="F25" s="207">
        <f>'5.Closing Stock &amp; W Capital'!I55</f>
        <v>1145619.5358410501</v>
      </c>
      <c r="G25" s="207">
        <f>'5.Closing Stock &amp; W Capital'!J55</f>
        <v>1313686.3354771892</v>
      </c>
      <c r="H25" s="207">
        <f>'5.Closing Stock &amp; W Capital'!K55</f>
        <v>1495695.7662373395</v>
      </c>
      <c r="I25" s="192"/>
      <c r="J25" s="192"/>
      <c r="K25" s="192"/>
      <c r="L25" s="192"/>
      <c r="M25" s="192"/>
      <c r="N25" s="192"/>
      <c r="O25" s="192"/>
      <c r="P25" s="192"/>
      <c r="Q25" s="192"/>
      <c r="R25" s="192"/>
    </row>
    <row r="26" spans="1:18" ht="14.25" customHeight="1">
      <c r="A26" s="206" t="s">
        <v>434</v>
      </c>
      <c r="B26" s="204"/>
      <c r="C26" s="204"/>
      <c r="D26" s="204"/>
      <c r="E26" s="204"/>
      <c r="F26" s="204"/>
      <c r="G26" s="204"/>
      <c r="H26" s="204"/>
      <c r="I26" s="192"/>
      <c r="J26" s="192"/>
      <c r="K26" s="192"/>
      <c r="L26" s="192"/>
      <c r="M26" s="192"/>
      <c r="N26" s="192"/>
      <c r="O26" s="192"/>
      <c r="P26" s="192"/>
      <c r="Q26" s="192"/>
      <c r="R26" s="192"/>
    </row>
    <row r="27" spans="1:18" ht="14.25" customHeight="1">
      <c r="A27" s="202" t="s">
        <v>435</v>
      </c>
      <c r="B27" s="204">
        <f t="shared" ref="B27:H27" si="3">SUM(B24:B26)</f>
        <v>2746458.8638706421</v>
      </c>
      <c r="C27" s="204">
        <f t="shared" si="3"/>
        <v>4238008.1278007096</v>
      </c>
      <c r="D27" s="204">
        <f t="shared" si="3"/>
        <v>4992618.4205697067</v>
      </c>
      <c r="E27" s="204">
        <f t="shared" si="3"/>
        <v>5812094.7222961001</v>
      </c>
      <c r="F27" s="204">
        <f t="shared" si="3"/>
        <v>6701037.1081437096</v>
      </c>
      <c r="G27" s="204">
        <f t="shared" si="3"/>
        <v>7660818.8606607504</v>
      </c>
      <c r="H27" s="204">
        <f t="shared" si="3"/>
        <v>8699826.1956591383</v>
      </c>
      <c r="I27" s="192"/>
      <c r="J27" s="192"/>
      <c r="K27" s="192"/>
      <c r="L27" s="192"/>
      <c r="M27" s="192"/>
      <c r="N27" s="192"/>
      <c r="O27" s="192"/>
      <c r="P27" s="192"/>
      <c r="Q27" s="192"/>
      <c r="R27" s="192"/>
    </row>
    <row r="28" spans="1:18" ht="14.25" customHeight="1">
      <c r="A28" s="202" t="s">
        <v>436</v>
      </c>
      <c r="B28" s="204">
        <f>'4.TL repayment sch'!G21</f>
        <v>7341331.9696573904</v>
      </c>
      <c r="C28" s="204">
        <f>'4.TL repayment sch'!G33</f>
        <v>5820546.2955399696</v>
      </c>
      <c r="D28" s="204">
        <f>'4.TL repayment sch'!G45</f>
        <v>4106886.9324783375</v>
      </c>
      <c r="E28" s="204">
        <f>'4.TL repayment sch'!G57</f>
        <v>2175892.6690604831</v>
      </c>
      <c r="F28" s="204">
        <f>'4.TL repayment sch'!G69</f>
        <v>-9.6042640507221222E-10</v>
      </c>
      <c r="G28" s="204">
        <f>'4.TL repayment sch'!G81</f>
        <v>0</v>
      </c>
      <c r="H28" s="204">
        <f>'[1]Term Loan'!J72+'[1]Term Loan'!S72</f>
        <v>0</v>
      </c>
      <c r="I28" s="192"/>
      <c r="J28" s="192"/>
      <c r="K28" s="192"/>
      <c r="L28" s="192"/>
      <c r="M28" s="192"/>
      <c r="N28" s="192"/>
      <c r="O28" s="192"/>
      <c r="P28" s="192"/>
      <c r="Q28" s="192"/>
      <c r="R28" s="192"/>
    </row>
    <row r="29" spans="1:18" ht="14.25" customHeight="1">
      <c r="A29" s="202" t="s">
        <v>437</v>
      </c>
      <c r="B29" s="204"/>
      <c r="C29" s="204"/>
      <c r="D29" s="204"/>
      <c r="E29" s="204"/>
      <c r="F29" s="204"/>
      <c r="G29" s="204"/>
      <c r="H29" s="204"/>
      <c r="I29" s="192"/>
      <c r="J29" s="192"/>
      <c r="K29" s="192"/>
      <c r="L29" s="192"/>
      <c r="M29" s="192"/>
      <c r="N29" s="192"/>
      <c r="O29" s="192"/>
      <c r="P29" s="192"/>
      <c r="Q29" s="192"/>
      <c r="R29" s="192"/>
    </row>
    <row r="30" spans="1:18" ht="14.25" customHeight="1">
      <c r="A30" s="202"/>
      <c r="B30" s="210"/>
      <c r="C30" s="210"/>
      <c r="D30" s="210"/>
      <c r="E30" s="210"/>
      <c r="F30" s="210"/>
      <c r="G30" s="210"/>
      <c r="H30" s="210"/>
      <c r="I30" s="192"/>
      <c r="J30" s="192"/>
      <c r="K30" s="192"/>
      <c r="L30" s="192"/>
      <c r="M30" s="192"/>
      <c r="N30" s="192"/>
      <c r="O30" s="192"/>
      <c r="P30" s="192"/>
      <c r="Q30" s="192"/>
      <c r="R30" s="192"/>
    </row>
    <row r="31" spans="1:18" ht="14.25" customHeight="1">
      <c r="A31" s="208" t="s">
        <v>438</v>
      </c>
      <c r="B31" s="204">
        <f t="shared" ref="B31:H31" si="4">SUM(B27:B29)</f>
        <v>10087790.833528033</v>
      </c>
      <c r="C31" s="204">
        <f t="shared" si="4"/>
        <v>10058554.423340678</v>
      </c>
      <c r="D31" s="204">
        <f t="shared" si="4"/>
        <v>9099505.3530480452</v>
      </c>
      <c r="E31" s="204">
        <f t="shared" si="4"/>
        <v>7987987.3913565837</v>
      </c>
      <c r="F31" s="204">
        <f t="shared" si="4"/>
        <v>6701037.1081437087</v>
      </c>
      <c r="G31" s="204">
        <f t="shared" si="4"/>
        <v>7660818.8606607504</v>
      </c>
      <c r="H31" s="204">
        <f t="shared" si="4"/>
        <v>8699826.1956591383</v>
      </c>
      <c r="I31" s="192"/>
      <c r="J31" s="192"/>
      <c r="K31" s="192"/>
      <c r="L31" s="192"/>
      <c r="M31" s="192"/>
      <c r="N31" s="192"/>
      <c r="O31" s="192"/>
      <c r="P31" s="192"/>
      <c r="Q31" s="192"/>
      <c r="R31" s="192"/>
    </row>
    <row r="32" spans="1:18" ht="14.25" customHeight="1">
      <c r="A32" s="197"/>
      <c r="B32" s="207"/>
      <c r="C32" s="207"/>
      <c r="D32" s="207"/>
      <c r="E32" s="207"/>
      <c r="F32" s="207"/>
      <c r="G32" s="207"/>
      <c r="H32" s="207"/>
      <c r="I32" s="192"/>
      <c r="J32" s="192"/>
      <c r="K32" s="192"/>
      <c r="L32" s="192"/>
      <c r="M32" s="192"/>
      <c r="N32" s="192"/>
      <c r="O32" s="192"/>
      <c r="P32" s="192"/>
      <c r="Q32" s="192"/>
      <c r="R32" s="192"/>
    </row>
    <row r="33" spans="1:18" ht="14.25" customHeight="1">
      <c r="A33" s="206" t="s">
        <v>439</v>
      </c>
      <c r="B33" s="207">
        <f>'8.Cash Flow '!C7</f>
        <v>3395816.3242842024</v>
      </c>
      <c r="C33" s="207">
        <f t="shared" ref="C33:H33" si="5">B33</f>
        <v>3395816.3242842024</v>
      </c>
      <c r="D33" s="207">
        <f t="shared" si="5"/>
        <v>3395816.3242842024</v>
      </c>
      <c r="E33" s="207">
        <f t="shared" si="5"/>
        <v>3395816.3242842024</v>
      </c>
      <c r="F33" s="207">
        <f t="shared" si="5"/>
        <v>3395816.3242842024</v>
      </c>
      <c r="G33" s="207">
        <f t="shared" si="5"/>
        <v>3395816.3242842024</v>
      </c>
      <c r="H33" s="207">
        <f t="shared" si="5"/>
        <v>3395816.3242842024</v>
      </c>
      <c r="I33" s="192"/>
      <c r="J33" s="192"/>
      <c r="K33" s="192"/>
      <c r="L33" s="192"/>
      <c r="M33" s="192"/>
      <c r="N33" s="192"/>
      <c r="O33" s="192"/>
      <c r="P33" s="192"/>
      <c r="Q33" s="192"/>
      <c r="R33" s="192"/>
    </row>
    <row r="34" spans="1:18" ht="14.25" customHeight="1">
      <c r="A34" s="206" t="s">
        <v>440</v>
      </c>
      <c r="B34" s="207">
        <f>'1.Project Cost and MOF'!E19</f>
        <v>16072559.544</v>
      </c>
      <c r="C34" s="207">
        <f t="shared" ref="C34:H34" si="6">B34</f>
        <v>16072559.544</v>
      </c>
      <c r="D34" s="207">
        <f t="shared" si="6"/>
        <v>16072559.544</v>
      </c>
      <c r="E34" s="207">
        <f t="shared" si="6"/>
        <v>16072559.544</v>
      </c>
      <c r="F34" s="207">
        <f t="shared" si="6"/>
        <v>16072559.544</v>
      </c>
      <c r="G34" s="207">
        <f t="shared" si="6"/>
        <v>16072559.544</v>
      </c>
      <c r="H34" s="207">
        <f t="shared" si="6"/>
        <v>16072559.544</v>
      </c>
      <c r="I34" s="192"/>
      <c r="J34" s="192"/>
      <c r="K34" s="192"/>
      <c r="L34" s="192"/>
      <c r="M34" s="192"/>
      <c r="N34" s="192"/>
      <c r="O34" s="192"/>
      <c r="P34" s="192"/>
      <c r="Q34" s="192"/>
      <c r="R34" s="192"/>
    </row>
    <row r="35" spans="1:18" ht="14.25" customHeight="1">
      <c r="A35" s="202" t="s">
        <v>441</v>
      </c>
      <c r="B35" s="207"/>
      <c r="C35" s="207"/>
      <c r="D35" s="207"/>
      <c r="E35" s="207"/>
      <c r="F35" s="207"/>
      <c r="G35" s="207"/>
      <c r="H35" s="207"/>
      <c r="I35" s="192"/>
      <c r="J35" s="192"/>
      <c r="K35" s="192"/>
      <c r="L35" s="192"/>
      <c r="M35" s="192"/>
      <c r="N35" s="192"/>
      <c r="O35" s="192"/>
      <c r="P35" s="192"/>
      <c r="Q35" s="192"/>
      <c r="R35" s="192"/>
    </row>
    <row r="36" spans="1:18" ht="14.25" customHeight="1">
      <c r="A36" s="206" t="s">
        <v>442</v>
      </c>
      <c r="B36" s="207">
        <v>0</v>
      </c>
      <c r="C36" s="207">
        <f t="shared" ref="C36:H36" si="7">B39</f>
        <v>1405629.9635680956</v>
      </c>
      <c r="D36" s="207">
        <f t="shared" si="7"/>
        <v>4398905.4870304801</v>
      </c>
      <c r="E36" s="207">
        <f t="shared" si="7"/>
        <v>8369568.0868823892</v>
      </c>
      <c r="F36" s="207">
        <f t="shared" si="7"/>
        <v>13432841.614426477</v>
      </c>
      <c r="G36" s="207">
        <f t="shared" si="7"/>
        <v>19709925.39243798</v>
      </c>
      <c r="H36" s="207">
        <f t="shared" si="7"/>
        <v>27183795.951538026</v>
      </c>
      <c r="I36" s="192"/>
      <c r="J36" s="192"/>
      <c r="K36" s="192"/>
      <c r="L36" s="192"/>
      <c r="M36" s="192"/>
      <c r="N36" s="192"/>
      <c r="O36" s="192"/>
      <c r="P36" s="192"/>
      <c r="Q36" s="192"/>
      <c r="R36" s="192"/>
    </row>
    <row r="37" spans="1:18" ht="14.25" customHeight="1">
      <c r="A37" s="206" t="s">
        <v>443</v>
      </c>
      <c r="B37" s="207">
        <f>'6.Cons Profit &amp; Loss'!B53</f>
        <v>1405629.9635680956</v>
      </c>
      <c r="C37" s="207">
        <f>'6.Cons Profit &amp; Loss'!C51</f>
        <v>2993275.5234623845</v>
      </c>
      <c r="D37" s="207">
        <f>'6.Cons Profit &amp; Loss'!D51</f>
        <v>3970662.5998519091</v>
      </c>
      <c r="E37" s="207">
        <f>'6.Cons Profit &amp; Loss'!E51</f>
        <v>5063273.5275440877</v>
      </c>
      <c r="F37" s="207">
        <f>'6.Cons Profit &amp; Loss'!F51</f>
        <v>6277083.7780115027</v>
      </c>
      <c r="G37" s="207">
        <f>'6.Cons Profit &amp; Loss'!G51</f>
        <v>7473870.5591000468</v>
      </c>
      <c r="H37" s="207">
        <f>'6.Cons Profit &amp; Loss'!H51</f>
        <v>8647972.8256080151</v>
      </c>
      <c r="I37" s="192"/>
      <c r="J37" s="192"/>
      <c r="K37" s="192"/>
      <c r="L37" s="192"/>
      <c r="M37" s="192"/>
      <c r="N37" s="192"/>
      <c r="O37" s="192"/>
      <c r="P37" s="192"/>
      <c r="Q37" s="192"/>
      <c r="R37" s="192"/>
    </row>
    <row r="38" spans="1:18" ht="14.25" customHeight="1">
      <c r="A38" s="206" t="s">
        <v>444</v>
      </c>
      <c r="B38" s="207"/>
      <c r="C38" s="207"/>
      <c r="D38" s="207"/>
      <c r="E38" s="207"/>
      <c r="F38" s="207"/>
      <c r="G38" s="207"/>
      <c r="H38" s="207"/>
      <c r="I38" s="192"/>
      <c r="J38" s="192"/>
      <c r="K38" s="192"/>
      <c r="L38" s="192"/>
      <c r="M38" s="192"/>
      <c r="N38" s="192"/>
      <c r="O38" s="192"/>
      <c r="P38" s="192"/>
      <c r="Q38" s="192"/>
      <c r="R38" s="192"/>
    </row>
    <row r="39" spans="1:18" ht="14.25" customHeight="1">
      <c r="A39" s="206" t="s">
        <v>445</v>
      </c>
      <c r="B39" s="207">
        <f t="shared" ref="B39:H39" si="8">B36+B37-B38</f>
        <v>1405629.9635680956</v>
      </c>
      <c r="C39" s="207">
        <f t="shared" si="8"/>
        <v>4398905.4870304801</v>
      </c>
      <c r="D39" s="207">
        <f t="shared" si="8"/>
        <v>8369568.0868823892</v>
      </c>
      <c r="E39" s="207">
        <f t="shared" si="8"/>
        <v>13432841.614426477</v>
      </c>
      <c r="F39" s="207">
        <f t="shared" si="8"/>
        <v>19709925.39243798</v>
      </c>
      <c r="G39" s="207">
        <f t="shared" si="8"/>
        <v>27183795.951538026</v>
      </c>
      <c r="H39" s="207">
        <f t="shared" si="8"/>
        <v>35831768.777146041</v>
      </c>
      <c r="I39" s="192"/>
      <c r="J39" s="192"/>
      <c r="K39" s="192"/>
      <c r="L39" s="192"/>
      <c r="M39" s="192"/>
      <c r="N39" s="192"/>
      <c r="O39" s="192"/>
      <c r="P39" s="192"/>
      <c r="Q39" s="192"/>
      <c r="R39" s="192"/>
    </row>
    <row r="40" spans="1:18" ht="14.25" customHeight="1">
      <c r="A40" s="206"/>
      <c r="B40" s="209"/>
      <c r="C40" s="209"/>
      <c r="D40" s="209"/>
      <c r="E40" s="209"/>
      <c r="F40" s="209"/>
      <c r="G40" s="209"/>
      <c r="H40" s="209"/>
      <c r="I40" s="192"/>
      <c r="J40" s="192"/>
      <c r="K40" s="192"/>
      <c r="L40" s="192"/>
      <c r="M40" s="192"/>
      <c r="N40" s="192"/>
      <c r="O40" s="192"/>
      <c r="P40" s="192"/>
      <c r="Q40" s="192"/>
      <c r="R40" s="192"/>
    </row>
    <row r="41" spans="1:18" ht="14.25" customHeight="1">
      <c r="A41" s="211" t="s">
        <v>446</v>
      </c>
      <c r="B41" s="212">
        <f t="shared" ref="B41:H41" si="9">B33+B39+B34</f>
        <v>20874005.831852298</v>
      </c>
      <c r="C41" s="212">
        <f t="shared" si="9"/>
        <v>23867281.355314683</v>
      </c>
      <c r="D41" s="212">
        <f t="shared" si="9"/>
        <v>27837943.955166593</v>
      </c>
      <c r="E41" s="212">
        <f t="shared" si="9"/>
        <v>32901217.482710678</v>
      </c>
      <c r="F41" s="212">
        <f t="shared" si="9"/>
        <v>39178301.260722183</v>
      </c>
      <c r="G41" s="212">
        <f t="shared" si="9"/>
        <v>46652171.819822229</v>
      </c>
      <c r="H41" s="212">
        <f t="shared" si="9"/>
        <v>55300144.645430245</v>
      </c>
      <c r="I41" s="192"/>
      <c r="J41" s="192"/>
      <c r="K41" s="192"/>
      <c r="L41" s="192"/>
      <c r="M41" s="192"/>
      <c r="N41" s="192"/>
      <c r="O41" s="192"/>
      <c r="P41" s="192"/>
      <c r="Q41" s="192"/>
      <c r="R41" s="192"/>
    </row>
    <row r="42" spans="1:18" ht="14.25" customHeight="1">
      <c r="A42" s="197"/>
      <c r="B42" s="207"/>
      <c r="C42" s="207"/>
      <c r="D42" s="207"/>
      <c r="E42" s="207"/>
      <c r="F42" s="207"/>
      <c r="G42" s="207"/>
      <c r="H42" s="207"/>
      <c r="I42" s="192"/>
      <c r="J42" s="192"/>
      <c r="K42" s="192"/>
      <c r="L42" s="192"/>
      <c r="M42" s="192"/>
      <c r="N42" s="192"/>
      <c r="O42" s="192"/>
      <c r="P42" s="192"/>
      <c r="Q42" s="192"/>
      <c r="R42" s="192"/>
    </row>
    <row r="43" spans="1:18" ht="14.25" customHeight="1">
      <c r="A43" s="208" t="s">
        <v>447</v>
      </c>
      <c r="B43" s="204">
        <f t="shared" ref="B43:H43" si="10">B31+B41</f>
        <v>30961796.665380329</v>
      </c>
      <c r="C43" s="204">
        <f t="shared" si="10"/>
        <v>33925835.778655365</v>
      </c>
      <c r="D43" s="204">
        <f t="shared" si="10"/>
        <v>36937449.308214635</v>
      </c>
      <c r="E43" s="204">
        <f t="shared" si="10"/>
        <v>40889204.874067262</v>
      </c>
      <c r="F43" s="204">
        <f t="shared" si="10"/>
        <v>45879338.368865892</v>
      </c>
      <c r="G43" s="204">
        <f t="shared" si="10"/>
        <v>54312990.680482984</v>
      </c>
      <c r="H43" s="204">
        <f t="shared" si="10"/>
        <v>63999970.841089383</v>
      </c>
      <c r="I43" s="192"/>
      <c r="J43" s="192"/>
      <c r="K43" s="192"/>
      <c r="L43" s="192"/>
      <c r="M43" s="192"/>
      <c r="N43" s="192"/>
      <c r="O43" s="192"/>
      <c r="P43" s="192"/>
      <c r="Q43" s="192"/>
      <c r="R43" s="192"/>
    </row>
    <row r="44" spans="1:18" ht="14.25" customHeight="1">
      <c r="A44" s="197"/>
      <c r="B44" s="201"/>
      <c r="C44" s="201"/>
      <c r="D44" s="201"/>
      <c r="E44" s="201"/>
      <c r="F44" s="201"/>
      <c r="G44" s="201"/>
      <c r="H44" s="201"/>
      <c r="I44" s="192"/>
      <c r="J44" s="192"/>
      <c r="K44" s="192"/>
      <c r="L44" s="192"/>
      <c r="M44" s="192"/>
      <c r="N44" s="192"/>
      <c r="O44" s="192"/>
      <c r="P44" s="192"/>
      <c r="Q44" s="192"/>
      <c r="R44" s="192"/>
    </row>
    <row r="45" spans="1:18" ht="14.25" customHeight="1">
      <c r="A45" s="213" t="s">
        <v>448</v>
      </c>
      <c r="B45" s="214"/>
      <c r="C45" s="214"/>
      <c r="D45" s="214"/>
      <c r="E45" s="214"/>
      <c r="F45" s="214"/>
      <c r="G45" s="214"/>
      <c r="H45" s="214"/>
      <c r="I45" s="192"/>
      <c r="J45" s="192"/>
      <c r="K45" s="192"/>
      <c r="L45" s="192"/>
      <c r="M45" s="192"/>
      <c r="N45" s="192"/>
      <c r="O45" s="192"/>
      <c r="P45" s="192"/>
      <c r="Q45" s="192"/>
      <c r="R45" s="192"/>
    </row>
    <row r="46" spans="1:18" ht="14.25" customHeight="1">
      <c r="A46" s="215" t="s">
        <v>449</v>
      </c>
      <c r="B46" s="216">
        <f t="shared" ref="B46:H46" si="11">B43-B20</f>
        <v>0</v>
      </c>
      <c r="C46" s="216">
        <f t="shared" si="11"/>
        <v>0</v>
      </c>
      <c r="D46" s="216">
        <f t="shared" si="11"/>
        <v>0</v>
      </c>
      <c r="E46" s="216">
        <f t="shared" si="11"/>
        <v>0</v>
      </c>
      <c r="F46" s="216">
        <f t="shared" si="11"/>
        <v>0</v>
      </c>
      <c r="G46" s="216">
        <f t="shared" si="11"/>
        <v>0</v>
      </c>
      <c r="H46" s="216">
        <f t="shared" si="11"/>
        <v>0</v>
      </c>
      <c r="I46" s="192"/>
      <c r="J46" s="192"/>
      <c r="K46" s="192"/>
      <c r="L46" s="192"/>
      <c r="M46" s="192"/>
      <c r="N46" s="192"/>
      <c r="O46" s="192"/>
      <c r="P46" s="192"/>
      <c r="Q46" s="192"/>
      <c r="R46" s="192"/>
    </row>
    <row r="47" spans="1:18" ht="14.25" customHeight="1">
      <c r="A47" s="215"/>
      <c r="B47" s="216"/>
      <c r="C47" s="216"/>
      <c r="D47" s="216"/>
      <c r="E47" s="216"/>
      <c r="F47" s="216"/>
      <c r="G47" s="216"/>
      <c r="H47" s="216"/>
      <c r="I47" s="192"/>
      <c r="J47" s="192"/>
      <c r="K47" s="192"/>
      <c r="L47" s="192"/>
      <c r="M47" s="192"/>
      <c r="N47" s="192"/>
      <c r="O47" s="192"/>
      <c r="P47" s="192"/>
      <c r="Q47" s="192"/>
      <c r="R47" s="192"/>
    </row>
    <row r="48" spans="1:18" ht="14.25" customHeight="1">
      <c r="A48" s="217"/>
      <c r="B48" s="218"/>
      <c r="C48" s="218"/>
      <c r="D48" s="218"/>
      <c r="E48" s="218"/>
      <c r="F48" s="218"/>
      <c r="G48" s="218"/>
      <c r="H48" s="218"/>
      <c r="I48" s="192"/>
      <c r="J48" s="192"/>
      <c r="K48" s="192"/>
      <c r="L48" s="192"/>
      <c r="M48" s="192"/>
      <c r="N48" s="192"/>
      <c r="O48" s="192"/>
      <c r="P48" s="192"/>
      <c r="Q48" s="192"/>
      <c r="R48" s="192"/>
    </row>
    <row r="49" spans="1:18" ht="14.25" customHeight="1">
      <c r="A49" s="192"/>
      <c r="B49" s="219"/>
      <c r="C49" s="219"/>
      <c r="D49" s="219"/>
      <c r="E49" s="219"/>
      <c r="F49" s="219"/>
      <c r="G49" s="219"/>
      <c r="H49" s="219"/>
      <c r="I49" s="192"/>
      <c r="J49" s="192"/>
      <c r="K49" s="192"/>
      <c r="L49" s="192"/>
      <c r="M49" s="192"/>
      <c r="N49" s="192"/>
      <c r="O49" s="192"/>
      <c r="P49" s="192"/>
      <c r="Q49" s="192"/>
      <c r="R49" s="192"/>
    </row>
    <row r="50" spans="1:18" ht="39" customHeight="1">
      <c r="A50" s="396" t="s">
        <v>450</v>
      </c>
      <c r="B50" s="360"/>
      <c r="C50" s="360"/>
      <c r="D50" s="360"/>
      <c r="E50" s="360"/>
      <c r="F50" s="360"/>
      <c r="G50" s="360"/>
      <c r="H50" s="360"/>
      <c r="I50" s="360"/>
      <c r="J50" s="192"/>
      <c r="K50" s="192"/>
      <c r="L50" s="192"/>
      <c r="M50" s="192"/>
      <c r="N50" s="192"/>
      <c r="O50" s="192"/>
      <c r="P50" s="192"/>
      <c r="Q50" s="192"/>
      <c r="R50" s="192"/>
    </row>
    <row r="51" spans="1:18" ht="14.25" customHeight="1">
      <c r="A51" s="192"/>
      <c r="B51" s="192"/>
      <c r="C51" s="192"/>
      <c r="D51" s="192"/>
      <c r="E51" s="192"/>
      <c r="F51" s="192"/>
      <c r="G51" s="192"/>
      <c r="H51" s="192"/>
      <c r="I51" s="192"/>
      <c r="J51" s="192"/>
      <c r="K51" s="192"/>
      <c r="L51" s="192"/>
      <c r="M51" s="192"/>
      <c r="N51" s="192"/>
      <c r="O51" s="192"/>
      <c r="P51" s="192"/>
      <c r="Q51" s="192"/>
      <c r="R51" s="192"/>
    </row>
    <row r="52" spans="1:18" ht="14.25" customHeight="1">
      <c r="A52" s="192"/>
      <c r="B52" s="192"/>
      <c r="C52" s="192"/>
      <c r="D52" s="192"/>
      <c r="E52" s="192"/>
      <c r="F52" s="192"/>
      <c r="G52" s="192"/>
      <c r="H52" s="192"/>
      <c r="I52" s="192"/>
      <c r="J52" s="192"/>
      <c r="K52" s="192"/>
      <c r="L52" s="192"/>
      <c r="M52" s="192"/>
      <c r="N52" s="192"/>
      <c r="O52" s="192"/>
      <c r="P52" s="192"/>
      <c r="Q52" s="192"/>
      <c r="R52" s="192"/>
    </row>
    <row r="53" spans="1:18" ht="14.25" customHeight="1">
      <c r="A53" s="192"/>
      <c r="B53" s="192"/>
      <c r="C53" s="192"/>
      <c r="D53" s="192"/>
      <c r="E53" s="192"/>
      <c r="F53" s="192"/>
      <c r="G53" s="192"/>
      <c r="H53" s="192"/>
      <c r="I53" s="192"/>
      <c r="J53" s="192"/>
      <c r="K53" s="192"/>
      <c r="L53" s="192"/>
      <c r="M53" s="192"/>
      <c r="N53" s="192"/>
      <c r="O53" s="192"/>
      <c r="P53" s="192"/>
      <c r="Q53" s="192"/>
      <c r="R53" s="192"/>
    </row>
    <row r="54" spans="1:18" ht="14.25" customHeight="1">
      <c r="A54" s="192"/>
      <c r="B54" s="192"/>
      <c r="C54" s="192"/>
      <c r="D54" s="192"/>
      <c r="E54" s="192"/>
      <c r="F54" s="192"/>
      <c r="G54" s="192"/>
      <c r="H54" s="192"/>
      <c r="I54" s="192"/>
      <c r="J54" s="192"/>
      <c r="K54" s="192"/>
      <c r="L54" s="192"/>
      <c r="M54" s="192"/>
      <c r="N54" s="192"/>
      <c r="O54" s="192"/>
      <c r="P54" s="192"/>
      <c r="Q54" s="192"/>
      <c r="R54" s="192"/>
    </row>
    <row r="55" spans="1:18" ht="14.25" customHeight="1">
      <c r="A55" s="192"/>
      <c r="B55" s="192"/>
      <c r="C55" s="192"/>
      <c r="D55" s="192"/>
      <c r="E55" s="192"/>
      <c r="F55" s="192"/>
      <c r="G55" s="192"/>
      <c r="H55" s="192"/>
      <c r="I55" s="192"/>
      <c r="J55" s="192"/>
      <c r="K55" s="192"/>
      <c r="L55" s="192"/>
      <c r="M55" s="192"/>
      <c r="N55" s="192"/>
      <c r="O55" s="192"/>
      <c r="P55" s="192"/>
      <c r="Q55" s="192"/>
      <c r="R55" s="192"/>
    </row>
    <row r="56" spans="1:18" ht="14.25" customHeight="1">
      <c r="A56" s="192"/>
      <c r="B56" s="192"/>
      <c r="C56" s="192"/>
      <c r="D56" s="192"/>
      <c r="E56" s="192"/>
      <c r="F56" s="192"/>
      <c r="G56" s="192"/>
      <c r="H56" s="192"/>
      <c r="I56" s="192"/>
      <c r="J56" s="192"/>
      <c r="K56" s="192"/>
      <c r="L56" s="192"/>
      <c r="M56" s="192"/>
      <c r="N56" s="192"/>
      <c r="O56" s="192"/>
      <c r="P56" s="192"/>
      <c r="Q56" s="192"/>
      <c r="R56" s="192"/>
    </row>
    <row r="57" spans="1:18" ht="14.25" customHeight="1">
      <c r="A57" s="192"/>
      <c r="B57" s="192"/>
      <c r="C57" s="192"/>
      <c r="D57" s="192"/>
      <c r="E57" s="192"/>
      <c r="F57" s="192"/>
      <c r="G57" s="192"/>
      <c r="H57" s="192"/>
      <c r="I57" s="192"/>
      <c r="J57" s="192"/>
      <c r="K57" s="192"/>
      <c r="L57" s="192"/>
      <c r="M57" s="192"/>
      <c r="N57" s="192"/>
      <c r="O57" s="192"/>
      <c r="P57" s="192"/>
      <c r="Q57" s="192"/>
      <c r="R57" s="192"/>
    </row>
    <row r="58" spans="1:18" ht="14.25" customHeight="1">
      <c r="A58" s="192"/>
      <c r="B58" s="192"/>
      <c r="C58" s="192"/>
      <c r="D58" s="192"/>
      <c r="E58" s="192"/>
      <c r="F58" s="192"/>
      <c r="G58" s="192"/>
      <c r="H58" s="192"/>
      <c r="I58" s="192"/>
      <c r="J58" s="192"/>
      <c r="K58" s="192"/>
      <c r="L58" s="192"/>
      <c r="M58" s="192"/>
      <c r="N58" s="192"/>
      <c r="O58" s="192"/>
      <c r="P58" s="192"/>
      <c r="Q58" s="192"/>
      <c r="R58" s="192"/>
    </row>
    <row r="59" spans="1:18" ht="14.25" customHeight="1">
      <c r="A59" s="192"/>
      <c r="B59" s="192"/>
      <c r="C59" s="192"/>
      <c r="D59" s="192"/>
      <c r="E59" s="192"/>
      <c r="F59" s="192"/>
      <c r="G59" s="192"/>
      <c r="H59" s="192"/>
      <c r="I59" s="192"/>
      <c r="J59" s="192"/>
      <c r="K59" s="192"/>
      <c r="L59" s="192"/>
      <c r="M59" s="192"/>
      <c r="N59" s="192"/>
      <c r="O59" s="192"/>
      <c r="P59" s="192"/>
      <c r="Q59" s="192"/>
      <c r="R59" s="192"/>
    </row>
    <row r="60" spans="1:18" ht="14.25" customHeight="1">
      <c r="A60" s="192"/>
      <c r="B60" s="192"/>
      <c r="C60" s="192"/>
      <c r="D60" s="192"/>
      <c r="E60" s="192"/>
      <c r="F60" s="192"/>
      <c r="G60" s="192"/>
      <c r="H60" s="192"/>
      <c r="I60" s="192"/>
      <c r="J60" s="192"/>
      <c r="K60" s="192"/>
      <c r="L60" s="192"/>
      <c r="M60" s="192"/>
      <c r="N60" s="192"/>
      <c r="O60" s="192"/>
      <c r="P60" s="192"/>
      <c r="Q60" s="192"/>
      <c r="R60" s="192"/>
    </row>
    <row r="61" spans="1:18" ht="14.25" customHeight="1">
      <c r="A61" s="192"/>
      <c r="B61" s="192"/>
      <c r="C61" s="192"/>
      <c r="D61" s="192"/>
      <c r="E61" s="192"/>
      <c r="F61" s="192"/>
      <c r="G61" s="192"/>
      <c r="H61" s="192"/>
      <c r="I61" s="192"/>
      <c r="J61" s="192"/>
      <c r="K61" s="192"/>
      <c r="L61" s="192"/>
      <c r="M61" s="192"/>
      <c r="N61" s="192"/>
      <c r="O61" s="192"/>
      <c r="P61" s="192"/>
      <c r="Q61" s="192"/>
      <c r="R61" s="192"/>
    </row>
    <row r="62" spans="1:18" ht="14.25" customHeight="1">
      <c r="A62" s="192"/>
      <c r="B62" s="192"/>
      <c r="C62" s="192"/>
      <c r="D62" s="192"/>
      <c r="E62" s="192"/>
      <c r="F62" s="192"/>
      <c r="G62" s="192"/>
      <c r="H62" s="192"/>
      <c r="I62" s="192"/>
      <c r="J62" s="192"/>
      <c r="K62" s="192"/>
      <c r="L62" s="192"/>
      <c r="M62" s="192"/>
      <c r="N62" s="192"/>
      <c r="O62" s="192"/>
      <c r="P62" s="192"/>
      <c r="Q62" s="192"/>
      <c r="R62" s="192"/>
    </row>
    <row r="63" spans="1:18" ht="14.25" customHeight="1">
      <c r="A63" s="192"/>
      <c r="B63" s="192"/>
      <c r="C63" s="192"/>
      <c r="D63" s="192"/>
      <c r="E63" s="192"/>
      <c r="F63" s="192"/>
      <c r="G63" s="192"/>
      <c r="H63" s="192"/>
      <c r="I63" s="192"/>
      <c r="J63" s="192"/>
      <c r="K63" s="192"/>
      <c r="L63" s="192"/>
      <c r="M63" s="192"/>
      <c r="N63" s="192"/>
      <c r="O63" s="192"/>
      <c r="P63" s="192"/>
      <c r="Q63" s="192"/>
      <c r="R63" s="192"/>
    </row>
    <row r="64" spans="1:18" ht="14.25" customHeight="1">
      <c r="A64" s="192"/>
      <c r="B64" s="192"/>
      <c r="C64" s="192"/>
      <c r="D64" s="192"/>
      <c r="E64" s="192"/>
      <c r="F64" s="192"/>
      <c r="G64" s="192"/>
      <c r="H64" s="192"/>
      <c r="I64" s="192"/>
      <c r="J64" s="192"/>
      <c r="K64" s="192"/>
      <c r="L64" s="192"/>
      <c r="M64" s="192"/>
      <c r="N64" s="192"/>
      <c r="O64" s="192"/>
      <c r="P64" s="192"/>
      <c r="Q64" s="192"/>
      <c r="R64" s="192"/>
    </row>
    <row r="65" spans="1:18" ht="14.25" customHeight="1">
      <c r="A65" s="192"/>
      <c r="B65" s="192"/>
      <c r="C65" s="192"/>
      <c r="D65" s="192"/>
      <c r="E65" s="192"/>
      <c r="F65" s="192"/>
      <c r="G65" s="192"/>
      <c r="H65" s="192"/>
      <c r="I65" s="192"/>
      <c r="J65" s="192"/>
      <c r="K65" s="192"/>
      <c r="L65" s="192"/>
      <c r="M65" s="192"/>
      <c r="N65" s="192"/>
      <c r="O65" s="192"/>
      <c r="P65" s="192"/>
      <c r="Q65" s="192"/>
      <c r="R65" s="192"/>
    </row>
    <row r="66" spans="1:18" ht="14.25" customHeight="1">
      <c r="A66" s="192"/>
      <c r="B66" s="192"/>
      <c r="C66" s="192"/>
      <c r="D66" s="192"/>
      <c r="E66" s="192"/>
      <c r="F66" s="192"/>
      <c r="G66" s="192"/>
      <c r="H66" s="192"/>
      <c r="I66" s="192"/>
      <c r="J66" s="192"/>
      <c r="K66" s="192"/>
      <c r="L66" s="192"/>
      <c r="M66" s="192"/>
      <c r="N66" s="192"/>
      <c r="O66" s="192"/>
      <c r="P66" s="192"/>
      <c r="Q66" s="192"/>
      <c r="R66" s="192"/>
    </row>
    <row r="67" spans="1:18" ht="14.25" customHeight="1">
      <c r="A67" s="192"/>
      <c r="B67" s="192"/>
      <c r="C67" s="192"/>
      <c r="D67" s="192"/>
      <c r="E67" s="192"/>
      <c r="F67" s="192"/>
      <c r="G67" s="192"/>
      <c r="H67" s="192"/>
      <c r="I67" s="192"/>
      <c r="J67" s="192"/>
      <c r="K67" s="192"/>
      <c r="L67" s="192"/>
      <c r="M67" s="192"/>
      <c r="N67" s="192"/>
      <c r="O67" s="192"/>
      <c r="P67" s="192"/>
      <c r="Q67" s="192"/>
      <c r="R67" s="192"/>
    </row>
    <row r="68" spans="1:18" ht="14.25" customHeight="1">
      <c r="A68" s="192"/>
      <c r="B68" s="192"/>
      <c r="C68" s="192"/>
      <c r="D68" s="192"/>
      <c r="E68" s="192"/>
      <c r="F68" s="192"/>
      <c r="G68" s="192"/>
      <c r="H68" s="192"/>
      <c r="I68" s="192"/>
      <c r="J68" s="192"/>
      <c r="K68" s="192"/>
      <c r="L68" s="192"/>
      <c r="M68" s="192"/>
      <c r="N68" s="192"/>
      <c r="O68" s="192"/>
      <c r="P68" s="192"/>
      <c r="Q68" s="192"/>
      <c r="R68" s="192"/>
    </row>
    <row r="69" spans="1:18" ht="14.25" customHeight="1">
      <c r="A69" s="192"/>
      <c r="B69" s="192"/>
      <c r="C69" s="192"/>
      <c r="D69" s="192"/>
      <c r="E69" s="192"/>
      <c r="F69" s="192"/>
      <c r="G69" s="192"/>
      <c r="H69" s="192"/>
      <c r="I69" s="192"/>
      <c r="J69" s="192"/>
      <c r="K69" s="192"/>
      <c r="L69" s="192"/>
      <c r="M69" s="192"/>
      <c r="N69" s="192"/>
      <c r="O69" s="192"/>
      <c r="P69" s="192"/>
      <c r="Q69" s="192"/>
      <c r="R69" s="192"/>
    </row>
    <row r="70" spans="1:18" ht="14.25" customHeight="1">
      <c r="A70" s="192"/>
      <c r="B70" s="192"/>
      <c r="C70" s="192"/>
      <c r="D70" s="192"/>
      <c r="E70" s="192"/>
      <c r="F70" s="192"/>
      <c r="G70" s="192"/>
      <c r="H70" s="192"/>
      <c r="I70" s="192"/>
      <c r="J70" s="192"/>
      <c r="K70" s="192"/>
      <c r="L70" s="192"/>
      <c r="M70" s="192"/>
      <c r="N70" s="192"/>
      <c r="O70" s="192"/>
      <c r="P70" s="192"/>
      <c r="Q70" s="192"/>
      <c r="R70" s="192"/>
    </row>
    <row r="71" spans="1:18" ht="14.25" customHeight="1">
      <c r="A71" s="192"/>
      <c r="B71" s="192"/>
      <c r="C71" s="192"/>
      <c r="D71" s="192"/>
      <c r="E71" s="192"/>
      <c r="F71" s="192"/>
      <c r="G71" s="192"/>
      <c r="H71" s="192"/>
      <c r="I71" s="192"/>
      <c r="J71" s="192"/>
      <c r="K71" s="192"/>
      <c r="L71" s="192"/>
      <c r="M71" s="192"/>
      <c r="N71" s="192"/>
      <c r="O71" s="192"/>
      <c r="P71" s="192"/>
      <c r="Q71" s="192"/>
      <c r="R71" s="192"/>
    </row>
    <row r="72" spans="1:18" ht="14.25" customHeight="1">
      <c r="A72" s="192"/>
      <c r="B72" s="192"/>
      <c r="C72" s="192"/>
      <c r="D72" s="192"/>
      <c r="E72" s="192"/>
      <c r="F72" s="192"/>
      <c r="G72" s="192"/>
      <c r="H72" s="192"/>
      <c r="I72" s="192"/>
      <c r="J72" s="192"/>
      <c r="K72" s="192"/>
      <c r="L72" s="192"/>
      <c r="M72" s="192"/>
      <c r="N72" s="192"/>
      <c r="O72" s="192"/>
      <c r="P72" s="192"/>
      <c r="Q72" s="192"/>
      <c r="R72" s="192"/>
    </row>
    <row r="73" spans="1:18" ht="14.25" customHeight="1">
      <c r="A73" s="192"/>
      <c r="B73" s="192"/>
      <c r="C73" s="192"/>
      <c r="D73" s="192"/>
      <c r="E73" s="192"/>
      <c r="F73" s="192"/>
      <c r="G73" s="192"/>
      <c r="H73" s="192"/>
      <c r="I73" s="192"/>
      <c r="J73" s="192"/>
      <c r="K73" s="192"/>
      <c r="L73" s="192"/>
      <c r="M73" s="192"/>
      <c r="N73" s="192"/>
      <c r="O73" s="192"/>
      <c r="P73" s="192"/>
      <c r="Q73" s="192"/>
      <c r="R73" s="192"/>
    </row>
    <row r="74" spans="1:18" ht="14.25" customHeight="1">
      <c r="A74" s="192"/>
      <c r="B74" s="192"/>
      <c r="C74" s="192"/>
      <c r="D74" s="192"/>
      <c r="E74" s="192"/>
      <c r="F74" s="192"/>
      <c r="G74" s="192"/>
      <c r="H74" s="192"/>
      <c r="I74" s="192"/>
      <c r="J74" s="192"/>
      <c r="K74" s="192"/>
      <c r="L74" s="192"/>
      <c r="M74" s="192"/>
      <c r="N74" s="192"/>
      <c r="O74" s="192"/>
      <c r="P74" s="192"/>
      <c r="Q74" s="192"/>
      <c r="R74" s="192"/>
    </row>
    <row r="75" spans="1:18" ht="14.25" customHeight="1">
      <c r="A75" s="192"/>
      <c r="B75" s="192"/>
      <c r="C75" s="192"/>
      <c r="D75" s="192"/>
      <c r="E75" s="192"/>
      <c r="F75" s="192"/>
      <c r="G75" s="192"/>
      <c r="H75" s="192"/>
      <c r="I75" s="192"/>
      <c r="J75" s="192"/>
      <c r="K75" s="192"/>
      <c r="L75" s="192"/>
      <c r="M75" s="192"/>
      <c r="N75" s="192"/>
      <c r="O75" s="192"/>
      <c r="P75" s="192"/>
      <c r="Q75" s="192"/>
      <c r="R75" s="192"/>
    </row>
    <row r="76" spans="1:18" ht="14.25" customHeight="1">
      <c r="A76" s="192"/>
      <c r="B76" s="192"/>
      <c r="C76" s="192"/>
      <c r="D76" s="192"/>
      <c r="E76" s="192"/>
      <c r="F76" s="192"/>
      <c r="G76" s="192"/>
      <c r="H76" s="192"/>
      <c r="I76" s="192"/>
      <c r="J76" s="192"/>
      <c r="K76" s="192"/>
      <c r="L76" s="192"/>
      <c r="M76" s="192"/>
      <c r="N76" s="192"/>
      <c r="O76" s="192"/>
      <c r="P76" s="192"/>
      <c r="Q76" s="192"/>
      <c r="R76" s="192"/>
    </row>
    <row r="77" spans="1:18" ht="14.25" customHeight="1">
      <c r="A77" s="192"/>
      <c r="B77" s="192"/>
      <c r="C77" s="192"/>
      <c r="D77" s="192"/>
      <c r="E77" s="192"/>
      <c r="F77" s="192"/>
      <c r="G77" s="192"/>
      <c r="H77" s="192"/>
      <c r="I77" s="192"/>
      <c r="J77" s="192"/>
      <c r="K77" s="192"/>
      <c r="L77" s="192"/>
      <c r="M77" s="192"/>
      <c r="N77" s="192"/>
      <c r="O77" s="192"/>
      <c r="P77" s="192"/>
      <c r="Q77" s="192"/>
      <c r="R77" s="192"/>
    </row>
    <row r="78" spans="1:18" ht="14.25" customHeight="1">
      <c r="A78" s="192"/>
      <c r="B78" s="192"/>
      <c r="C78" s="192"/>
      <c r="D78" s="192"/>
      <c r="E78" s="192"/>
      <c r="F78" s="192"/>
      <c r="G78" s="192"/>
      <c r="H78" s="192"/>
      <c r="I78" s="192"/>
      <c r="J78" s="192"/>
      <c r="K78" s="192"/>
      <c r="L78" s="192"/>
      <c r="M78" s="192"/>
      <c r="N78" s="192"/>
      <c r="O78" s="192"/>
      <c r="P78" s="192"/>
      <c r="Q78" s="192"/>
      <c r="R78" s="192"/>
    </row>
    <row r="79" spans="1:18" ht="14.25" customHeight="1">
      <c r="A79" s="192"/>
      <c r="B79" s="192"/>
      <c r="C79" s="192"/>
      <c r="D79" s="192"/>
      <c r="E79" s="192"/>
      <c r="F79" s="192"/>
      <c r="G79" s="192"/>
      <c r="H79" s="192"/>
      <c r="I79" s="192"/>
      <c r="J79" s="192"/>
      <c r="K79" s="192"/>
      <c r="L79" s="192"/>
      <c r="M79" s="192"/>
      <c r="N79" s="192"/>
      <c r="O79" s="192"/>
      <c r="P79" s="192"/>
      <c r="Q79" s="192"/>
      <c r="R79" s="192"/>
    </row>
    <row r="80" spans="1:18" ht="14.25" customHeight="1">
      <c r="A80" s="192"/>
      <c r="B80" s="192"/>
      <c r="C80" s="192"/>
      <c r="D80" s="192"/>
      <c r="E80" s="192"/>
      <c r="F80" s="192"/>
      <c r="G80" s="192"/>
      <c r="H80" s="192"/>
      <c r="I80" s="192"/>
      <c r="J80" s="192"/>
      <c r="K80" s="192"/>
      <c r="L80" s="192"/>
      <c r="M80" s="192"/>
      <c r="N80" s="192"/>
      <c r="O80" s="192"/>
      <c r="P80" s="192"/>
      <c r="Q80" s="192"/>
      <c r="R80" s="192"/>
    </row>
    <row r="81" spans="1:18" ht="14.25" customHeight="1">
      <c r="A81" s="192"/>
      <c r="B81" s="192"/>
      <c r="C81" s="192"/>
      <c r="D81" s="192"/>
      <c r="E81" s="192"/>
      <c r="F81" s="192"/>
      <c r="G81" s="192"/>
      <c r="H81" s="192"/>
      <c r="I81" s="192"/>
      <c r="J81" s="192"/>
      <c r="K81" s="192"/>
      <c r="L81" s="192"/>
      <c r="M81" s="192"/>
      <c r="N81" s="192"/>
      <c r="O81" s="192"/>
      <c r="P81" s="192"/>
      <c r="Q81" s="192"/>
      <c r="R81" s="192"/>
    </row>
    <row r="82" spans="1:18" ht="14.25" customHeight="1">
      <c r="A82" s="192"/>
      <c r="B82" s="192"/>
      <c r="C82" s="192"/>
      <c r="D82" s="192"/>
      <c r="E82" s="192"/>
      <c r="F82" s="192"/>
      <c r="G82" s="192"/>
      <c r="H82" s="192"/>
      <c r="I82" s="192"/>
      <c r="J82" s="192"/>
      <c r="K82" s="192"/>
      <c r="L82" s="192"/>
      <c r="M82" s="192"/>
      <c r="N82" s="192"/>
      <c r="O82" s="192"/>
      <c r="P82" s="192"/>
      <c r="Q82" s="192"/>
      <c r="R82" s="192"/>
    </row>
    <row r="83" spans="1:18" ht="14.25" customHeight="1">
      <c r="A83" s="192"/>
      <c r="B83" s="192"/>
      <c r="C83" s="192"/>
      <c r="D83" s="192"/>
      <c r="E83" s="192"/>
      <c r="F83" s="192"/>
      <c r="G83" s="192"/>
      <c r="H83" s="192"/>
      <c r="I83" s="192"/>
      <c r="J83" s="192"/>
      <c r="K83" s="192"/>
      <c r="L83" s="192"/>
      <c r="M83" s="192"/>
      <c r="N83" s="192"/>
      <c r="O83" s="192"/>
      <c r="P83" s="192"/>
      <c r="Q83" s="192"/>
      <c r="R83" s="192"/>
    </row>
    <row r="84" spans="1:18" ht="14.25" customHeight="1">
      <c r="A84" s="192"/>
      <c r="B84" s="192"/>
      <c r="C84" s="192"/>
      <c r="D84" s="192"/>
      <c r="E84" s="192"/>
      <c r="F84" s="192"/>
      <c r="G84" s="192"/>
      <c r="H84" s="192"/>
      <c r="I84" s="192"/>
      <c r="J84" s="192"/>
      <c r="K84" s="192"/>
      <c r="L84" s="192"/>
      <c r="M84" s="192"/>
      <c r="N84" s="192"/>
      <c r="O84" s="192"/>
      <c r="P84" s="192"/>
      <c r="Q84" s="192"/>
      <c r="R84" s="192"/>
    </row>
    <row r="85" spans="1:18" ht="14.25" customHeight="1">
      <c r="A85" s="192"/>
      <c r="B85" s="192"/>
      <c r="C85" s="192"/>
      <c r="D85" s="192"/>
      <c r="E85" s="192"/>
      <c r="F85" s="192"/>
      <c r="G85" s="192"/>
      <c r="H85" s="192"/>
      <c r="I85" s="192"/>
      <c r="J85" s="192"/>
      <c r="K85" s="192"/>
      <c r="L85" s="192"/>
      <c r="M85" s="192"/>
      <c r="N85" s="192"/>
      <c r="O85" s="192"/>
      <c r="P85" s="192"/>
      <c r="Q85" s="192"/>
      <c r="R85" s="192"/>
    </row>
    <row r="86" spans="1:18" ht="14.25" customHeight="1">
      <c r="A86" s="192"/>
      <c r="B86" s="192"/>
      <c r="C86" s="192"/>
      <c r="D86" s="192"/>
      <c r="E86" s="192"/>
      <c r="F86" s="192"/>
      <c r="G86" s="192"/>
      <c r="H86" s="192"/>
      <c r="I86" s="192"/>
      <c r="J86" s="192"/>
      <c r="K86" s="192"/>
      <c r="L86" s="192"/>
      <c r="M86" s="192"/>
      <c r="N86" s="192"/>
      <c r="O86" s="192"/>
      <c r="P86" s="192"/>
      <c r="Q86" s="192"/>
      <c r="R86" s="192"/>
    </row>
    <row r="87" spans="1:18" ht="14.25" customHeight="1">
      <c r="A87" s="192"/>
      <c r="B87" s="192"/>
      <c r="C87" s="192"/>
      <c r="D87" s="192"/>
      <c r="E87" s="192"/>
      <c r="F87" s="192"/>
      <c r="G87" s="192"/>
      <c r="H87" s="192"/>
      <c r="I87" s="192"/>
      <c r="J87" s="192"/>
      <c r="K87" s="192"/>
      <c r="L87" s="192"/>
      <c r="M87" s="192"/>
      <c r="N87" s="192"/>
      <c r="O87" s="192"/>
      <c r="P87" s="192"/>
      <c r="Q87" s="192"/>
      <c r="R87" s="192"/>
    </row>
    <row r="88" spans="1:18" ht="14.25" customHeight="1">
      <c r="A88" s="192"/>
      <c r="B88" s="192"/>
      <c r="C88" s="192"/>
      <c r="D88" s="192"/>
      <c r="E88" s="192"/>
      <c r="F88" s="192"/>
      <c r="G88" s="192"/>
      <c r="H88" s="192"/>
      <c r="I88" s="192"/>
      <c r="J88" s="192"/>
      <c r="K88" s="192"/>
      <c r="L88" s="192"/>
      <c r="M88" s="192"/>
      <c r="N88" s="192"/>
      <c r="O88" s="192"/>
      <c r="P88" s="192"/>
      <c r="Q88" s="192"/>
      <c r="R88" s="192"/>
    </row>
    <row r="89" spans="1:18" ht="14.25" customHeight="1">
      <c r="A89" s="192"/>
      <c r="B89" s="192"/>
      <c r="C89" s="192"/>
      <c r="D89" s="192"/>
      <c r="E89" s="192"/>
      <c r="F89" s="192"/>
      <c r="G89" s="192"/>
      <c r="H89" s="192"/>
      <c r="I89" s="192"/>
      <c r="J89" s="192"/>
      <c r="K89" s="192"/>
      <c r="L89" s="192"/>
      <c r="M89" s="192"/>
      <c r="N89" s="192"/>
      <c r="O89" s="192"/>
      <c r="P89" s="192"/>
      <c r="Q89" s="192"/>
      <c r="R89" s="192"/>
    </row>
    <row r="90" spans="1:18" ht="14.25" customHeight="1">
      <c r="A90" s="192"/>
      <c r="B90" s="192"/>
      <c r="C90" s="192"/>
      <c r="D90" s="192"/>
      <c r="E90" s="192"/>
      <c r="F90" s="192"/>
      <c r="G90" s="192"/>
      <c r="H90" s="192"/>
      <c r="I90" s="192"/>
      <c r="J90" s="192"/>
      <c r="K90" s="192"/>
      <c r="L90" s="192"/>
      <c r="M90" s="192"/>
      <c r="N90" s="192"/>
      <c r="O90" s="192"/>
      <c r="P90" s="192"/>
      <c r="Q90" s="192"/>
      <c r="R90" s="192"/>
    </row>
    <row r="91" spans="1:18" ht="14.25" customHeight="1">
      <c r="A91" s="192"/>
      <c r="B91" s="192"/>
      <c r="C91" s="192"/>
      <c r="D91" s="192"/>
      <c r="E91" s="192"/>
      <c r="F91" s="192"/>
      <c r="G91" s="192"/>
      <c r="H91" s="192"/>
      <c r="I91" s="192"/>
      <c r="J91" s="192"/>
      <c r="K91" s="192"/>
      <c r="L91" s="192"/>
      <c r="M91" s="192"/>
      <c r="N91" s="192"/>
      <c r="O91" s="192"/>
      <c r="P91" s="192"/>
      <c r="Q91" s="192"/>
      <c r="R91" s="192"/>
    </row>
    <row r="92" spans="1:18" ht="14.25" customHeight="1">
      <c r="A92" s="192"/>
      <c r="B92" s="192"/>
      <c r="C92" s="192"/>
      <c r="D92" s="192"/>
      <c r="E92" s="192"/>
      <c r="F92" s="192"/>
      <c r="G92" s="192"/>
      <c r="H92" s="192"/>
      <c r="I92" s="192"/>
      <c r="J92" s="192"/>
      <c r="K92" s="192"/>
      <c r="L92" s="192"/>
      <c r="M92" s="192"/>
      <c r="N92" s="192"/>
      <c r="O92" s="192"/>
      <c r="P92" s="192"/>
      <c r="Q92" s="192"/>
      <c r="R92" s="192"/>
    </row>
    <row r="93" spans="1:18" ht="14.25" customHeight="1">
      <c r="A93" s="192"/>
      <c r="B93" s="192"/>
      <c r="C93" s="192"/>
      <c r="D93" s="192"/>
      <c r="E93" s="192"/>
      <c r="F93" s="192"/>
      <c r="G93" s="192"/>
      <c r="H93" s="192"/>
      <c r="I93" s="192"/>
      <c r="J93" s="192"/>
      <c r="K93" s="192"/>
      <c r="L93" s="192"/>
      <c r="M93" s="192"/>
      <c r="N93" s="192"/>
      <c r="O93" s="192"/>
      <c r="P93" s="192"/>
      <c r="Q93" s="192"/>
      <c r="R93" s="192"/>
    </row>
    <row r="94" spans="1:18" ht="14.25" customHeight="1">
      <c r="A94" s="192"/>
      <c r="B94" s="192"/>
      <c r="C94" s="192"/>
      <c r="D94" s="192"/>
      <c r="E94" s="192"/>
      <c r="F94" s="192"/>
      <c r="G94" s="192"/>
      <c r="H94" s="192"/>
      <c r="I94" s="192"/>
      <c r="J94" s="192"/>
      <c r="K94" s="192"/>
      <c r="L94" s="192"/>
      <c r="M94" s="192"/>
      <c r="N94" s="192"/>
      <c r="O94" s="192"/>
      <c r="P94" s="192"/>
      <c r="Q94" s="192"/>
      <c r="R94" s="192"/>
    </row>
    <row r="95" spans="1:18" ht="14.25" customHeight="1">
      <c r="A95" s="192"/>
      <c r="B95" s="192"/>
      <c r="C95" s="192"/>
      <c r="D95" s="192"/>
      <c r="E95" s="192"/>
      <c r="F95" s="192"/>
      <c r="G95" s="192"/>
      <c r="H95" s="192"/>
      <c r="I95" s="192"/>
      <c r="J95" s="192"/>
      <c r="K95" s="192"/>
      <c r="L95" s="192"/>
      <c r="M95" s="192"/>
      <c r="N95" s="192"/>
      <c r="O95" s="192"/>
      <c r="P95" s="192"/>
      <c r="Q95" s="192"/>
      <c r="R95" s="192"/>
    </row>
    <row r="96" spans="1:18" ht="14.25" customHeight="1">
      <c r="A96" s="192"/>
      <c r="B96" s="192"/>
      <c r="C96" s="192"/>
      <c r="D96" s="192"/>
      <c r="E96" s="192"/>
      <c r="F96" s="192"/>
      <c r="G96" s="192"/>
      <c r="H96" s="192"/>
      <c r="I96" s="192"/>
      <c r="J96" s="192"/>
      <c r="K96" s="192"/>
      <c r="L96" s="192"/>
      <c r="M96" s="192"/>
      <c r="N96" s="192"/>
      <c r="O96" s="192"/>
      <c r="P96" s="192"/>
      <c r="Q96" s="192"/>
      <c r="R96" s="192"/>
    </row>
    <row r="97" spans="1:18" ht="14.25" customHeight="1">
      <c r="A97" s="192"/>
      <c r="B97" s="192"/>
      <c r="C97" s="192"/>
      <c r="D97" s="192"/>
      <c r="E97" s="192"/>
      <c r="F97" s="192"/>
      <c r="G97" s="192"/>
      <c r="H97" s="192"/>
      <c r="I97" s="192"/>
      <c r="J97" s="192"/>
      <c r="K97" s="192"/>
      <c r="L97" s="192"/>
      <c r="M97" s="192"/>
      <c r="N97" s="192"/>
      <c r="O97" s="192"/>
      <c r="P97" s="192"/>
      <c r="Q97" s="192"/>
      <c r="R97" s="192"/>
    </row>
    <row r="98" spans="1:18" ht="14.25" customHeight="1">
      <c r="A98" s="192"/>
      <c r="B98" s="192"/>
      <c r="C98" s="192"/>
      <c r="D98" s="192"/>
      <c r="E98" s="192"/>
      <c r="F98" s="192"/>
      <c r="G98" s="192"/>
      <c r="H98" s="192"/>
      <c r="I98" s="192"/>
      <c r="J98" s="192"/>
      <c r="K98" s="192"/>
      <c r="L98" s="192"/>
      <c r="M98" s="192"/>
      <c r="N98" s="192"/>
      <c r="O98" s="192"/>
      <c r="P98" s="192"/>
      <c r="Q98" s="192"/>
      <c r="R98" s="192"/>
    </row>
    <row r="99" spans="1:18" ht="14.25" customHeight="1">
      <c r="A99" s="192"/>
      <c r="B99" s="192"/>
      <c r="C99" s="192"/>
      <c r="D99" s="192"/>
      <c r="E99" s="192"/>
      <c r="F99" s="192"/>
      <c r="G99" s="192"/>
      <c r="H99" s="192"/>
      <c r="I99" s="192"/>
      <c r="J99" s="192"/>
      <c r="K99" s="192"/>
      <c r="L99" s="192"/>
      <c r="M99" s="192"/>
      <c r="N99" s="192"/>
      <c r="O99" s="192"/>
      <c r="P99" s="192"/>
      <c r="Q99" s="192"/>
      <c r="R99" s="192"/>
    </row>
    <row r="100" spans="1:18" ht="14.25" customHeight="1">
      <c r="A100" s="192"/>
      <c r="B100" s="192"/>
      <c r="C100" s="192"/>
      <c r="D100" s="192"/>
      <c r="E100" s="192"/>
      <c r="F100" s="192"/>
      <c r="G100" s="192"/>
      <c r="H100" s="192"/>
      <c r="I100" s="192"/>
      <c r="J100" s="192"/>
      <c r="K100" s="192"/>
      <c r="L100" s="192"/>
      <c r="M100" s="192"/>
      <c r="N100" s="192"/>
      <c r="O100" s="192"/>
      <c r="P100" s="192"/>
      <c r="Q100" s="192"/>
      <c r="R100" s="192"/>
    </row>
  </sheetData>
  <mergeCells count="3">
    <mergeCell ref="A1:F1"/>
    <mergeCell ref="A2:H2"/>
    <mergeCell ref="A50:I50"/>
  </mergeCells>
  <conditionalFormatting sqref="B36:F38 B37:H37">
    <cfRule type="cellIs" dxfId="2" priority="1" operator="lessThan">
      <formula>0</formula>
    </cfRule>
  </conditionalFormatting>
  <conditionalFormatting sqref="G36:G38">
    <cfRule type="cellIs" dxfId="1" priority="2" operator="lessThan">
      <formula>0</formula>
    </cfRule>
  </conditionalFormatting>
  <conditionalFormatting sqref="H36:H38">
    <cfRule type="cellIs" dxfId="0" priority="3" operator="lessThan">
      <formula>0</formula>
    </cfRule>
  </conditionalFormatting>
  <pageMargins left="0.7" right="0.7" top="0.75" bottom="0.75" header="0" footer="0"/>
  <pageSetup scale="6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Flour Mill</vt:lpstr>
      <vt:lpstr>13.Facility 2 Cleaning &amp; Gradin</vt:lpstr>
      <vt:lpstr>14. Facility 3 Warehouse</vt:lpstr>
      <vt:lpstr>15. Facility 4 Custom Hiring</vt:lpstr>
      <vt:lpstr>16.Facility 5 Agri Input</vt:lpstr>
      <vt:lpstr>17.Facility 6 Roasted Channa </vt:lpstr>
      <vt:lpstr>VGF</vt:lpstr>
      <vt:lpstr>Sheet2</vt:lpstr>
      <vt:lpstr>Benefit to farmer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2006-09-16T00:00:00Z</dcterms:created>
  <dcterms:modified xsi:type="dcterms:W3CDTF">2023-05-05T07:08:25Z</dcterms:modified>
</cp:coreProperties>
</file>